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1. Но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38" i="1" l="1"/>
  <c r="K37" i="1"/>
  <c r="K26" i="1"/>
  <c r="K25" i="1"/>
  <c r="K18" i="1"/>
  <c r="K16" i="1"/>
  <c r="K13" i="1"/>
  <c r="K11" i="1"/>
  <c r="J36" i="1"/>
  <c r="J31" i="1"/>
  <c r="J26" i="1"/>
  <c r="J25" i="1"/>
  <c r="J20" i="1"/>
  <c r="J19" i="1"/>
  <c r="J13" i="1"/>
  <c r="H13" i="1"/>
  <c r="H19" i="1"/>
  <c r="G40" i="1"/>
  <c r="G38" i="1"/>
  <c r="G26" i="1"/>
  <c r="G25" i="1"/>
  <c r="G19" i="1"/>
  <c r="G18" i="1"/>
  <c r="G16" i="1"/>
  <c r="G15" i="1"/>
  <c r="J11" i="1" l="1"/>
  <c r="K40" i="1" l="1"/>
  <c r="K30" i="1"/>
  <c r="K29" i="1"/>
  <c r="K28" i="1"/>
  <c r="K20" i="1" l="1"/>
  <c r="K21" i="1"/>
  <c r="K14" i="1"/>
  <c r="J34" i="1"/>
  <c r="J29" i="1" l="1"/>
  <c r="J28" i="1"/>
  <c r="J16" i="1"/>
  <c r="H15" i="1"/>
  <c r="G35" i="1"/>
  <c r="G29" i="1"/>
  <c r="G17" i="1"/>
  <c r="G14" i="1"/>
  <c r="K24" i="1" l="1"/>
  <c r="K15" i="1"/>
  <c r="J40" i="1"/>
  <c r="J14" i="1"/>
  <c r="G24" i="1" l="1"/>
  <c r="G13" i="1"/>
  <c r="G11" i="1"/>
  <c r="G34" i="1" l="1"/>
  <c r="K31" i="1"/>
  <c r="K17" i="1" l="1"/>
  <c r="G32" i="1"/>
  <c r="G31" i="1"/>
  <c r="G28" i="1"/>
  <c r="L9" i="1" l="1"/>
  <c r="L10" i="1"/>
  <c r="L12" i="1"/>
  <c r="L22" i="1"/>
  <c r="L23" i="1"/>
  <c r="L27" i="1"/>
  <c r="L33" i="1"/>
  <c r="F13" i="1" l="1"/>
  <c r="F19" i="1"/>
  <c r="F15" i="1"/>
  <c r="G21" i="1" l="1"/>
  <c r="J24" i="1" l="1"/>
  <c r="J15" i="1"/>
  <c r="H26" i="1"/>
  <c r="H25" i="1"/>
  <c r="H18" i="1"/>
  <c r="H17" i="1"/>
  <c r="F17" i="1" l="1"/>
  <c r="J21" i="1" l="1"/>
  <c r="G30" i="1" l="1"/>
  <c r="G33" i="1"/>
  <c r="J23" i="1"/>
  <c r="E22" i="1" l="1"/>
  <c r="E21" i="1" l="1"/>
  <c r="L21" i="1" s="1"/>
  <c r="K19" i="1" l="1"/>
  <c r="J22" i="1" l="1"/>
  <c r="F38" i="1" l="1"/>
  <c r="K33" i="1"/>
  <c r="J17" i="1" l="1"/>
  <c r="J27" i="1" l="1"/>
  <c r="K12" i="1"/>
  <c r="K34" i="1"/>
  <c r="K27" i="1"/>
  <c r="E8" i="1" l="1"/>
  <c r="L8" i="1" s="1"/>
  <c r="J18" i="1" l="1"/>
  <c r="H11" i="1" l="1"/>
  <c r="H34" i="1" l="1"/>
  <c r="G27" i="1" l="1"/>
  <c r="H16" i="1" l="1"/>
  <c r="F18" i="1" l="1"/>
  <c r="F24" i="1" l="1"/>
  <c r="H32" i="1" l="1"/>
  <c r="H31" i="1"/>
  <c r="H28" i="1"/>
  <c r="J35" i="1" l="1"/>
  <c r="J33" i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<sst xmlns="http://schemas.openxmlformats.org/spreadsheetml/2006/main" count="81" uniqueCount="53">
  <si>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</si>
  <si>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</si>
  <si>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</si>
  <si>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</si>
  <si>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</si>
  <si>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</si>
  <si>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</si>
  <si>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</si>
  <si>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</si>
  <si>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</si>
  <si>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</si>
  <si>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</si>
  <si>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</si>
  <si>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</si>
  <si>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</si>
  <si>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</si>
  <si>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</si>
  <si>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</si>
  <si>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</si>
  <si>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</si>
  <si>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</si>
  <si>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</si>
  <si>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</si>
  <si>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</si>
  <si>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</si>
  <si>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</si>
  <si>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</si>
  <si>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</si>
  <si>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</si>
  <si>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</si>
  <si>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</si>
  <si>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</si>
  <si>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</si>
  <si>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</si>
  <si>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</si>
  <si>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</si>
  <si>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</si>
  <si>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</si>
  <si>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</si>
  <si>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</si>
  <si>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</si>
  <si>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</si>
  <si>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</si>
  <si>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</si>
  <si>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</si>
  <si>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</si>
  <si>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</si>
  <si>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</si>
  <si>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</si>
  <si>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</si>
  <si>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ноябрь 2024 г</t>
  </si>
  <si>
    <t>Информация об изменении цен на социально-значимые товары, 
реализуемые на территории г. Пыть-Ях
по состоянию на 29.11.2024 г.</t>
  </si>
  <si>
    <t>Ср. цены на 22.11.2024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</si>
</sst>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H4" sqref="H4:H7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75" t="s">
        <v>42</v>
      </c>
      <c r="K4" s="75" t="s">
        <v>43</v>
      </c>
      <c r="L4" s="75" t="s">
        <v>44</v>
      </c>
      <c r="M4" s="79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76"/>
      <c r="K5" s="76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76"/>
      <c r="K6" s="76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77"/>
      <c r="K7" s="77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71"/>
      <c r="I9" s="66">
        <v>520</v>
      </c>
      <c r="J9" s="67"/>
      <c r="K9" s="67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71"/>
      <c r="I10" s="66">
        <v>750</v>
      </c>
      <c r="J10" s="67"/>
      <c r="K10" s="67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260.84172813239371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6">
        <v>350</v>
      </c>
      <c r="J11" s="67">
        <f>(179.99+219.99)/2</f>
        <v>199.99</v>
      </c>
      <c r="K11" s="67">
        <f>(219.99+189.99)/2</f>
        <v>204.99</v>
      </c>
      <c r="L11" s="10">
        <f t="shared" si="1"/>
        <v>1.2745499966837883</v>
      </c>
      <c r="M11" s="14">
        <v>257.55900978176146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938.99720986834257</v>
      </c>
      <c r="F13" s="62">
        <f>220/0.22</f>
        <v>1000</v>
      </c>
      <c r="G13" s="65">
        <f>(184.99/0.18+139.99/0.18+192.99/0.18)/3</f>
        <v>959.20370370370381</v>
      </c>
      <c r="H13" s="62">
        <f>(430/0.5+190/0.18)/2</f>
        <v>957.77777777777783</v>
      </c>
      <c r="I13" s="66"/>
      <c r="J13" s="67">
        <f>(141/0.18+165/0.18+199/0.18+135.99/0.18)/4</f>
        <v>890.26388888888891</v>
      </c>
      <c r="K13" s="67">
        <f>(119.99/0.18+179.99/0.2+199.99/0.18)/3</f>
        <v>892.53888888888889</v>
      </c>
      <c r="L13" s="10">
        <f>(E13/M13)*100-100</f>
        <v>0.86792830039593127</v>
      </c>
      <c r="M13" s="14">
        <v>930.91751331692296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129.59333838787245</v>
      </c>
      <c r="F14" s="62">
        <v>140</v>
      </c>
      <c r="G14" s="62">
        <f>(114.95+99.99/0.9+109.99+139.99)/4</f>
        <v>119.00750000000001</v>
      </c>
      <c r="H14" s="62">
        <f>(140+150/0.8)/2</f>
        <v>163.75</v>
      </c>
      <c r="I14" s="66"/>
      <c r="J14" s="67">
        <f>(89.99+119.99+124.99)/3</f>
        <v>111.65666666666665</v>
      </c>
      <c r="K14" s="62">
        <f>(109.99+119.99+129.99)/3</f>
        <v>119.99000000000001</v>
      </c>
      <c r="L14" s="10">
        <f t="shared" si="1"/>
        <v>0</v>
      </c>
      <c r="M14" s="14">
        <v>129.59333838787245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91.19949970500052</v>
      </c>
      <c r="F15" s="62">
        <f>85/0.9</f>
        <v>94.444444444444443</v>
      </c>
      <c r="G15" s="62">
        <f>(74.99/0.9+75.99/0.9+83.99/0.9+89.99/0.9)/4</f>
        <v>90.266666666666652</v>
      </c>
      <c r="H15" s="62">
        <f>(85/0.9+95/0.9)/2</f>
        <v>100</v>
      </c>
      <c r="I15" s="66"/>
      <c r="J15" s="67">
        <f>(89+72.99/0.9+77.49/0.9)/3</f>
        <v>85.399999999999991</v>
      </c>
      <c r="K15" s="67">
        <f>(59.99/0.8+77.99/0.8+174.99/2+77.99/0.9)/4</f>
        <v>86.656388888888884</v>
      </c>
      <c r="L15" s="10">
        <f t="shared" si="1"/>
        <v>0.24801892048932928</v>
      </c>
      <c r="M15" s="14">
        <v>90.973867301392204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87.904024503394879</v>
      </c>
      <c r="F16" s="62">
        <v>90</v>
      </c>
      <c r="G16" s="62">
        <f>(57.99/0.9+83.99/0.9+99.99/0.9)/3</f>
        <v>89.618518518518499</v>
      </c>
      <c r="H16" s="62">
        <f>(75/0.9+115/0.95+100)/3</f>
        <v>101.46198830409357</v>
      </c>
      <c r="I16" s="66"/>
      <c r="J16" s="67">
        <f>(56.99/0.9+77.99/0.9+87.99)/3</f>
        <v>79.322592592592585</v>
      </c>
      <c r="K16" s="67">
        <f>(69.99+84.99/0.98+84.99/0.99)/3</f>
        <v>80.854324881467733</v>
      </c>
      <c r="L16" s="10">
        <f t="shared" si="1"/>
        <v>0.41625098643510228</v>
      </c>
      <c r="M16" s="14">
        <v>87.539639888835865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94.144966408886958</v>
      </c>
      <c r="F17" s="63">
        <f>90/0.9</f>
        <v>100</v>
      </c>
      <c r="G17" s="63">
        <f>(69.99/0.9+66.99/0.9+84.99/0.9+92.99/0.9)/4</f>
        <v>87.48888888888888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(75.99/0.95+54.99/0.5+42.99/0.5+82.99)/4</f>
        <v>89.734868421052639</v>
      </c>
      <c r="L17" s="10">
        <f t="shared" si="1"/>
        <v>0</v>
      </c>
      <c r="M17" s="14">
        <v>94.144966408886958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256.53607852276537</v>
      </c>
      <c r="F18" s="63">
        <f>(85/0.4+110/0.4+132/0.5)/3</f>
        <v>250.5</v>
      </c>
      <c r="G18" s="63">
        <f>(72.99/0.3+79.99/0.3+99.99/0.5+119.99/0.5+149.99/0.5)/5</f>
        <v>249.97466666666668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0.16078890666084078</v>
      </c>
      <c r="M18" s="53">
        <v>256.12425912682215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393.89375659365305</v>
      </c>
      <c r="F19" s="63">
        <f>(205/0.5+152/0.4+165/0.4)/3</f>
        <v>400.83333333333331</v>
      </c>
      <c r="G19" s="63">
        <f>(93.99/0.3+99.99/0.3+139.99/0.38+109.99/0.3)/4</f>
        <v>345.40701754385964</v>
      </c>
      <c r="H19" s="63">
        <f>(170/0.4+190/0.5)/2</f>
        <v>402.5</v>
      </c>
      <c r="I19" s="51"/>
      <c r="J19" s="63">
        <f>(99.99/0.25+139.99/0.33+144.99/0.38+179.99/0.38)/4</f>
        <v>419.84566188197766</v>
      </c>
      <c r="K19" s="63">
        <f>(129.99/0.3+119.99/0.3+149.99/0.33+99.99/0.3)/4</f>
        <v>405.27045454545453</v>
      </c>
      <c r="L19" s="10">
        <f t="shared" si="1"/>
        <v>1.484610855153278</v>
      </c>
      <c r="M19" s="53">
        <v>388.13151400447185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114.77584111665345</v>
      </c>
      <c r="F20" s="62">
        <v>130</v>
      </c>
      <c r="G20" s="62">
        <v>103.74</v>
      </c>
      <c r="H20" s="62">
        <v>135</v>
      </c>
      <c r="I20" s="66"/>
      <c r="J20" s="67">
        <f>(94.99+109.99+119.99)/3</f>
        <v>108.32333333333332</v>
      </c>
      <c r="K20" s="67">
        <f>(94.99+99+109)/3</f>
        <v>100.99666666666667</v>
      </c>
      <c r="L20" s="10">
        <f t="shared" si="1"/>
        <v>0.75766240521741679</v>
      </c>
      <c r="M20" s="53">
        <v>113.91276690705575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6"/>
      <c r="J21" s="67">
        <f>(69.99+347.99/5)/2</f>
        <v>69.793999999999997</v>
      </c>
      <c r="K21" s="67">
        <f>(69+359.99/5)/2</f>
        <v>70.498999999999995</v>
      </c>
      <c r="L21" s="10">
        <f t="shared" si="1"/>
        <v>0</v>
      </c>
      <c r="M21" s="53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52.288656814410288</v>
      </c>
      <c r="F24" s="62">
        <f>(110/2+140/2)/2</f>
        <v>62.5</v>
      </c>
      <c r="G24" s="62">
        <f>(59.99/2+107.99/2+129.99/2)/3</f>
        <v>49.661666666666669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(69.99/2+109.99/2)/2</f>
        <v>44.994999999999997</v>
      </c>
      <c r="L24" s="52">
        <f t="shared" si="1"/>
        <v>0</v>
      </c>
      <c r="M24" s="53">
        <v>52.288656814410288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91.169846889752108</v>
      </c>
      <c r="F25" s="62">
        <v>90</v>
      </c>
      <c r="G25" s="62">
        <f>(46.99/0.5+49.99/0.5+54.99/0.55)/3</f>
        <v>97.980606060606064</v>
      </c>
      <c r="H25" s="62">
        <f>45/0.5</f>
        <v>90</v>
      </c>
      <c r="I25" s="66"/>
      <c r="J25" s="67">
        <f>(39.99/0.5+43.99/0.5+57.99/0.6)/3</f>
        <v>88.203333333333333</v>
      </c>
      <c r="K25" s="62">
        <f>44.99/0.5</f>
        <v>89.98</v>
      </c>
      <c r="L25" s="52">
        <f t="shared" si="1"/>
        <v>3.1411456161014542</v>
      </c>
      <c r="M25" s="53">
        <v>88.393285090212828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90.746403584204884</v>
      </c>
      <c r="F26" s="62">
        <v>90</v>
      </c>
      <c r="G26" s="62">
        <f>(45.99/0.55+62.99/0.6)/2</f>
        <v>94.300757575757572</v>
      </c>
      <c r="H26" s="62">
        <f>45/0.5</f>
        <v>90</v>
      </c>
      <c r="I26" s="66"/>
      <c r="J26" s="67">
        <f>(39.99/0.5+45.99/0.5+57.99/0.6)/3</f>
        <v>89.536666666666676</v>
      </c>
      <c r="K26" s="62">
        <f>44.99/0.5</f>
        <v>89.98</v>
      </c>
      <c r="L26" s="52">
        <f t="shared" si="1"/>
        <v>3.2674822304859674</v>
      </c>
      <c r="M26" s="53">
        <v>87.875100296979369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6"/>
      <c r="J28" s="67">
        <f>(79.99/0.8+92.99/0.9)/2</f>
        <v>101.6548611111111</v>
      </c>
      <c r="K28" s="67">
        <f>(84.9/0.8+115.9/0.8+109.9/0.85)/3</f>
        <v>126.76470588235294</v>
      </c>
      <c r="L28" s="52">
        <f t="shared" si="1"/>
        <v>0</v>
      </c>
      <c r="M28" s="53">
        <v>129.77722011613511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75.893462937923772</v>
      </c>
      <c r="F29" s="65">
        <f>90/0.9</f>
        <v>100</v>
      </c>
      <c r="G29" s="65">
        <f>43.8/0.9</f>
        <v>48.666666666666664</v>
      </c>
      <c r="H29" s="65">
        <f>100/0.8</f>
        <v>125</v>
      </c>
      <c r="I29" s="66"/>
      <c r="J29" s="67">
        <f>43.99/0.75</f>
        <v>58.653333333333336</v>
      </c>
      <c r="K29" s="67">
        <f>59.98/0.85</f>
        <v>70.564705882352939</v>
      </c>
      <c r="L29" s="52">
        <f t="shared" si="1"/>
        <v>0</v>
      </c>
      <c r="M29" s="54">
        <v>75.893462937923772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103.71256653484082</v>
      </c>
      <c r="F31" s="65">
        <f>120/0.9</f>
        <v>133.33333333333334</v>
      </c>
      <c r="G31" s="65">
        <f>(33.99/0.8+79.99/0.8+119.99/0.8)/3</f>
        <v>97.487499999999997</v>
      </c>
      <c r="H31" s="65">
        <f>120/0.9</f>
        <v>133.33333333333334</v>
      </c>
      <c r="I31" s="66"/>
      <c r="J31" s="67">
        <f>(29.49/0.8+64.99/0.8+86.99/0.9+84.99/0.9)/4</f>
        <v>77.297222222222217</v>
      </c>
      <c r="K31" s="65">
        <f>(34.99/0.8+79.99/0.8+99.99/0.8)/3</f>
        <v>89.570833333333326</v>
      </c>
      <c r="L31" s="52">
        <f t="shared" si="1"/>
        <v>-0.35993575777885667</v>
      </c>
      <c r="M31" s="54">
        <v>104.08721363599241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0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93.207539273016948</v>
      </c>
      <c r="F34" s="65">
        <f>90</f>
        <v>90</v>
      </c>
      <c r="G34" s="65">
        <f>(52.99/0.45+20.99/0.45)/2</f>
        <v>82.2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0</v>
      </c>
      <c r="M34" s="54">
        <v>93.207539273016948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90.199365344213732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64"/>
      <c r="J35" s="63">
        <f>(18.99/0.4+31.49/0.4)/2</f>
        <v>63.099999999999994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90.199365344213732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48.268886114565696</v>
      </c>
      <c r="F36" s="65">
        <v>45</v>
      </c>
      <c r="G36" s="65">
        <v>48.39</v>
      </c>
      <c r="H36" s="65">
        <v>45</v>
      </c>
      <c r="I36" s="66"/>
      <c r="J36" s="67">
        <f>(48.99+57.99)/2</f>
        <v>53.49</v>
      </c>
      <c r="K36" s="67">
        <v>49.99</v>
      </c>
      <c r="L36" s="52">
        <f t="shared" si="1"/>
        <v>-0.83318815232871657</v>
      </c>
      <c r="M36" s="54">
        <v>48.6744357464177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43.90106394405592</v>
      </c>
      <c r="F37" s="65">
        <v>50</v>
      </c>
      <c r="G37" s="65">
        <v>39.99</v>
      </c>
      <c r="H37" s="65">
        <v>60</v>
      </c>
      <c r="I37" s="66"/>
      <c r="J37" s="67">
        <v>33.99</v>
      </c>
      <c r="K37" s="67">
        <f>(36.99+42.99)/2</f>
        <v>39.99</v>
      </c>
      <c r="L37" s="52">
        <f t="shared" si="1"/>
        <v>8.8252595633370134</v>
      </c>
      <c r="M37" s="54">
        <v>40.340876851761799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47.090007333119509</v>
      </c>
      <c r="F38" s="65">
        <f>(40+60)/2</f>
        <v>50</v>
      </c>
      <c r="G38" s="65">
        <f>(47.38+42.99)/2</f>
        <v>45.185000000000002</v>
      </c>
      <c r="H38" s="65">
        <v>45</v>
      </c>
      <c r="I38" s="66"/>
      <c r="J38" s="67">
        <v>48.99</v>
      </c>
      <c r="K38" s="67">
        <f>(42.99+49.99)/2</f>
        <v>46.49</v>
      </c>
      <c r="L38" s="52">
        <f t="shared" si="1"/>
        <v>2.5069712239877475</v>
      </c>
      <c r="M38" s="54">
        <v>45.938346212789021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45.806876239095693</v>
      </c>
      <c r="F39" s="65">
        <v>60</v>
      </c>
      <c r="G39" s="65">
        <v>28.99</v>
      </c>
      <c r="H39" s="65">
        <v>50</v>
      </c>
      <c r="I39" s="66"/>
      <c r="J39" s="67">
        <v>28.99</v>
      </c>
      <c r="K39" s="67">
        <v>79.989999999999995</v>
      </c>
      <c r="L39" s="52">
        <f>(E39/M39)*100-100</f>
        <v>0</v>
      </c>
      <c r="M39" s="54">
        <v>45.806876239095693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155.11992320068487</v>
      </c>
      <c r="F40" s="68">
        <v>200</v>
      </c>
      <c r="G40" s="68">
        <f>(99.99+139.99+144.99)/3</f>
        <v>128.32333333333335</v>
      </c>
      <c r="H40" s="68">
        <v>200</v>
      </c>
      <c r="I40" s="69"/>
      <c r="J40" s="72">
        <f>(109.99+129.99+134.99)/3</f>
        <v>124.99000000000001</v>
      </c>
      <c r="K40" s="72">
        <f>(129.99+139.99+149.99)/3</f>
        <v>139.99</v>
      </c>
      <c r="L40" s="55">
        <f>(E40/M40)*100-100</f>
        <v>0.52777558236843447</v>
      </c>
      <c r="M40" s="56">
        <v>154.3055362580721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2024-11-29T04:56:27Z</cp:lastPrinted>
  <dcterms:created xsi:type="dcterms:W3CDTF">2007-04-16T07:34:00Z</dcterms:created>
  <dcterms:modified xsi:type="dcterms:W3CDTF">2024-11-29T06:16:57Z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