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023-2024\1. Ежемесячный, еженедельный по 32 наименованиям\2024\11. Ноябр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40" i="1" l="1"/>
  <c r="K30" i="1"/>
  <c r="K29" i="1"/>
  <c r="K28" i="1"/>
  <c r="K20" i="1" l="1"/>
  <c r="K21" i="1"/>
  <c r="K14" i="1"/>
  <c r="J36" i="1"/>
  <c r="J34" i="1"/>
  <c r="J20" i="1"/>
  <c r="J29" i="1" l="1"/>
  <c r="J28" i="1"/>
  <c r="J16" i="1"/>
  <c r="J13" i="1"/>
  <c r="H15" i="1"/>
  <c r="G40" i="1"/>
  <c r="G35" i="1"/>
  <c r="G29" i="1"/>
  <c r="G20" i="1"/>
  <c r="G17" i="1"/>
  <c r="G16" i="1"/>
  <c r="G15" i="1"/>
  <c r="G14" i="1"/>
  <c r="K24" i="1" l="1"/>
  <c r="K15" i="1"/>
  <c r="K13" i="1"/>
  <c r="J40" i="1"/>
  <c r="J31" i="1"/>
  <c r="J14" i="1"/>
  <c r="J11" i="1" l="1"/>
  <c r="G24" i="1"/>
  <c r="G13" i="1"/>
  <c r="G11" i="1"/>
  <c r="G34" i="1" l="1"/>
  <c r="K31" i="1"/>
  <c r="K17" i="1" l="1"/>
  <c r="K16" i="1"/>
  <c r="J26" i="1"/>
  <c r="G32" i="1"/>
  <c r="G31" i="1"/>
  <c r="G28" i="1"/>
  <c r="G26" i="1"/>
  <c r="G25" i="1"/>
  <c r="L9" i="1" l="1"/>
  <c r="L10" i="1"/>
  <c r="L12" i="1"/>
  <c r="L18" i="1"/>
  <c r="L19" i="1"/>
  <c r="L22" i="1"/>
  <c r="L23" i="1"/>
  <c r="L27" i="1"/>
  <c r="L33" i="1"/>
  <c r="F13" i="1" l="1"/>
  <c r="K18" i="1"/>
  <c r="F19" i="1"/>
  <c r="F15" i="1"/>
  <c r="K25" i="1" l="1"/>
  <c r="H13" i="1"/>
  <c r="G21" i="1"/>
  <c r="G18" i="1"/>
  <c r="K26" i="1" l="1"/>
  <c r="J25" i="1"/>
  <c r="J24" i="1"/>
  <c r="J15" i="1"/>
  <c r="H26" i="1"/>
  <c r="H25" i="1"/>
  <c r="H18" i="1"/>
  <c r="H17" i="1"/>
  <c r="F17" i="1" l="1"/>
  <c r="J21" i="1" l="1"/>
  <c r="G30" i="1" l="1"/>
  <c r="G33" i="1"/>
  <c r="J23" i="1"/>
  <c r="E22" i="1" l="1"/>
  <c r="E21" i="1" l="1"/>
  <c r="L21" i="1" s="1"/>
  <c r="K19" i="1" l="1"/>
  <c r="H19" i="1" l="1"/>
  <c r="J22" i="1" l="1"/>
  <c r="F38" i="1" l="1"/>
  <c r="K33" i="1"/>
  <c r="J17" i="1" l="1"/>
  <c r="J19" i="1"/>
  <c r="J27" i="1" l="1"/>
  <c r="K12" i="1"/>
  <c r="K34" i="1"/>
  <c r="K27" i="1"/>
  <c r="G19" i="1" l="1"/>
  <c r="E8" i="1" l="1"/>
  <c r="L8" i="1" s="1"/>
  <c r="J18" i="1" l="1"/>
  <c r="H11" i="1" l="1"/>
  <c r="H34" i="1" l="1"/>
  <c r="G27" i="1" l="1"/>
  <c r="H16" i="1" l="1"/>
  <c r="F18" i="1" l="1"/>
  <c r="F24" i="1" l="1"/>
  <c r="H32" i="1" l="1"/>
  <c r="H31" i="1"/>
  <c r="H28" i="1"/>
  <c r="J35" i="1" l="1"/>
  <c r="J33" i="1"/>
  <c r="J30" i="1"/>
  <c r="H24" i="1"/>
  <c r="G22" i="1" l="1"/>
  <c r="J32" i="1" l="1"/>
  <c r="H30" i="1" l="1"/>
  <c r="E38" i="1" l="1"/>
  <c r="L38" i="1" s="1"/>
  <c r="E11" i="1" l="1"/>
  <c r="L11" i="1" s="1"/>
  <c r="E9" i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K22" i="1" l="1"/>
  <c r="H29" i="1"/>
  <c r="H33" i="1" l="1"/>
  <c r="K32" i="1"/>
  <c r="K35" i="1"/>
  <c r="E32" i="1" l="1"/>
  <c r="L32" i="1" s="1"/>
  <c r="H35" i="1" l="1"/>
  <c r="H27" i="1"/>
  <c r="H12" i="1"/>
  <c r="E12" i="1" s="1"/>
  <c r="F35" i="1" l="1"/>
  <c r="E35" i="1" s="1"/>
  <c r="L35" i="1" s="1"/>
  <c r="F33" i="1"/>
  <c r="F30" i="1"/>
  <c r="E30" i="1" s="1"/>
  <c r="L30" i="1" s="1"/>
  <c r="F27" i="1"/>
  <c r="E27" i="1" s="1"/>
  <c r="E19" i="1"/>
  <c r="E33" i="1" l="1"/>
  <c r="E17" i="1"/>
  <c r="L17" i="1" s="1"/>
  <c r="E18" i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H14" i="1"/>
  <c r="E14" i="1" s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<sst xmlns="http://schemas.openxmlformats.org/spreadsheetml/2006/main" count="81" uniqueCount="53">
  <si>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</si>
  <si>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</si>
  <si>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</si>
  <si>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</si>
  <si>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</si>
  <si>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</si>
  <si>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</si>
  <si>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</si>
  <si>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</si>
  <si>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</si>
  <si>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</si>
  <si>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</si>
  <si>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</si>
  <si>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</si>
  <si>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</si>
  <si>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</si>
  <si>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</si>
  <si>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</si>
  <si>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</si>
  <si>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</si>
  <si>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</si>
  <si>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</si>
  <si>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</si>
  <si>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</si>
  <si>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</si>
  <si>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</si>
  <si>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</si>
  <si>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</si>
  <si>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</si>
  <si>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</si>
  <si>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</si>
  <si>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</si>
  <si>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</si>
  <si>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</si>
  <si>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</si>
  <si>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</si>
  <si>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</si>
  <si>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</si>
  <si>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</si>
  <si>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</si>
  <si>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</si>
  <si>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</si>
  <si>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</si>
  <si>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</si>
  <si>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</si>
  <si>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</si>
  <si>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</si>
  <si>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</si>
  <si>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</si>
  <si>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</si>
  <si>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Информация об изменении цен на социально-значимые товары, 
реализуемые на территории г. Пыть-Ях
по состоянию на 15.11.2024 г.</t>
  </si>
  <si>
    <t>РЕГИОНАЛЬНЫЙ ИНФОРМАЦИОННЫЙ МОНИТОРИНГ ЦЕН
ноябрь 2024 г</t>
  </si>
  <si>
    <t>Ср. цены на 08.11.2024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</si>
</sst>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24" xfId="0" applyNumberFormat="1" applyFont="1" applyFill="1" applyBorder="1" applyAlignment="1">
      <alignment horizontal="center" vertical="center"/>
    </xf>
    <xf numFmtId="0" fontId="5" fillId="3" borderId="0" xfId="0" applyFont="1" applyFill="1" applyBorder="1"/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11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18" xfId="0" applyNumberFormat="1" applyFont="1" applyFill="1" applyBorder="1" applyAlignment="1" applyProtection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4" fontId="3" fillId="3" borderId="21" xfId="0" applyNumberFormat="1" applyFont="1" applyFill="1" applyBorder="1" applyAlignment="1">
      <alignment horizontal="center" vertical="center"/>
    </xf>
    <xf numFmtId="2" fontId="3" fillId="3" borderId="21" xfId="0" applyNumberFormat="1" applyFont="1" applyFill="1" applyBorder="1" applyAlignment="1">
      <alignment horizontal="center" vertical="center"/>
    </xf>
    <xf numFmtId="2" fontId="3" fillId="3" borderId="23" xfId="0" applyNumberFormat="1" applyFont="1" applyFill="1" applyBorder="1" applyAlignment="1">
      <alignment horizontal="center" vertical="center"/>
    </xf>
    <xf numFmtId="2" fontId="3" fillId="3" borderId="21" xfId="0" applyNumberFormat="1" applyFont="1" applyFill="1" applyBorder="1" applyAlignment="1" applyProtection="1">
      <alignment horizontal="center" vertical="center"/>
      <protection locked="0"/>
    </xf>
    <xf numFmtId="4" fontId="12" fillId="2" borderId="21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4" fontId="3" fillId="3" borderId="21" xfId="1" applyNumberFormat="1" applyFont="1" applyFill="1" applyBorder="1" applyAlignment="1">
      <alignment horizontal="center" vertical="center"/>
    </xf>
    <xf numFmtId="2" fontId="3" fillId="3" borderId="23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70" zoomScaleNormal="70" zoomScaleSheetLayoutView="70" workbookViewId="0">
      <pane xSplit="3" ySplit="7" topLeftCell="F20" activePane="bottomRight" state="frozen"/>
      <selection pane="topRight"/>
      <selection pane="bottomLeft"/>
      <selection pane="bottomRight" activeCell="K50" sqref="K50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6" style="1" customWidth="1"/>
    <col min="7" max="7" width="16.28515625" style="49" customWidth="1"/>
    <col min="8" max="8" width="17" style="47" customWidth="1"/>
    <col min="9" max="9" width="13.42578125" style="47" customWidth="1"/>
    <col min="10" max="10" width="17.140625" style="47" customWidth="1"/>
    <col min="11" max="11" width="15.85546875" style="47" customWidth="1"/>
    <col min="12" max="12" width="11.570312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83" t="s">
        <v>50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</row>
    <row r="2" spans="1:15" ht="12.75" customHeight="1" x14ac:dyDescent="0.2"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15" ht="19.5" thickBot="1" x14ac:dyDescent="0.25">
      <c r="B3" s="21"/>
      <c r="C3" s="22"/>
      <c r="D3" s="22"/>
      <c r="E3" s="22"/>
      <c r="F3" s="23"/>
      <c r="G3" s="24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51</v>
      </c>
      <c r="D4" s="29"/>
      <c r="E4" s="29"/>
      <c r="F4" s="80" t="s">
        <v>38</v>
      </c>
      <c r="G4" s="80" t="s">
        <v>39</v>
      </c>
      <c r="H4" s="80" t="s">
        <v>40</v>
      </c>
      <c r="I4" s="80" t="s">
        <v>41</v>
      </c>
      <c r="J4" s="86" t="s">
        <v>42</v>
      </c>
      <c r="K4" s="86" t="s">
        <v>43</v>
      </c>
      <c r="L4" s="80" t="s">
        <v>44</v>
      </c>
      <c r="M4" s="84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81"/>
      <c r="G5" s="81"/>
      <c r="H5" s="81"/>
      <c r="I5" s="81"/>
      <c r="J5" s="87"/>
      <c r="K5" s="87"/>
      <c r="L5" s="81"/>
      <c r="M5" s="85"/>
    </row>
    <row r="6" spans="1:15" ht="18.75" x14ac:dyDescent="0.2">
      <c r="A6" s="26"/>
      <c r="B6" s="30"/>
      <c r="C6" s="34" t="s">
        <v>49</v>
      </c>
      <c r="D6" s="35"/>
      <c r="E6" s="36"/>
      <c r="F6" s="81"/>
      <c r="G6" s="81"/>
      <c r="H6" s="81"/>
      <c r="I6" s="81"/>
      <c r="J6" s="87"/>
      <c r="K6" s="87"/>
      <c r="L6" s="81"/>
      <c r="M6" s="85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82"/>
      <c r="G7" s="82"/>
      <c r="H7" s="82"/>
      <c r="I7" s="82"/>
      <c r="J7" s="88"/>
      <c r="K7" s="88"/>
      <c r="L7" s="82"/>
      <c r="M7" s="85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325.88341473600644</v>
      </c>
      <c r="F8" s="58"/>
      <c r="G8" s="58"/>
      <c r="H8" s="59"/>
      <c r="I8" s="60">
        <v>295</v>
      </c>
      <c r="J8" s="61">
        <v>360</v>
      </c>
      <c r="K8" s="61"/>
      <c r="L8" s="10">
        <f>(E8/M8)*100-100</f>
        <v>0</v>
      </c>
      <c r="M8" s="14">
        <v>325.88341473600644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520</v>
      </c>
      <c r="F9" s="62"/>
      <c r="G9" s="62"/>
      <c r="H9" s="71"/>
      <c r="I9" s="66">
        <v>520</v>
      </c>
      <c r="J9" s="67"/>
      <c r="K9" s="67"/>
      <c r="L9" s="10">
        <f t="shared" ref="L9:L38" si="1">(E9/M9)*100-100</f>
        <v>0</v>
      </c>
      <c r="M9" s="14">
        <v>520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2"/>
      <c r="G10" s="62"/>
      <c r="H10" s="71"/>
      <c r="I10" s="66">
        <v>750</v>
      </c>
      <c r="J10" s="67"/>
      <c r="K10" s="67"/>
      <c r="L10" s="10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258.19895124862489</v>
      </c>
      <c r="F11" s="62">
        <v>320</v>
      </c>
      <c r="G11" s="62">
        <f>(179.99+239.99)/2</f>
        <v>209.99</v>
      </c>
      <c r="H11" s="62">
        <f>(350+330+300)/3</f>
        <v>326.66666666666669</v>
      </c>
      <c r="I11" s="66">
        <v>350</v>
      </c>
      <c r="J11" s="67">
        <f>(185.99+219.99)/2</f>
        <v>202.99</v>
      </c>
      <c r="K11" s="67">
        <v>189.99</v>
      </c>
      <c r="L11" s="10">
        <f t="shared" si="1"/>
        <v>0</v>
      </c>
      <c r="M11" s="14">
        <v>258.19895124862489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205.98732639450526</v>
      </c>
      <c r="F12" s="62">
        <v>250</v>
      </c>
      <c r="G12" s="62">
        <v>169.99</v>
      </c>
      <c r="H12" s="62">
        <f>(220+250)/2</f>
        <v>235</v>
      </c>
      <c r="I12" s="66">
        <v>250</v>
      </c>
      <c r="J12" s="67">
        <v>169.99</v>
      </c>
      <c r="K12" s="67">
        <f>(169.99+189.99)/2</f>
        <v>179.99</v>
      </c>
      <c r="L12" s="10">
        <f t="shared" si="1"/>
        <v>0</v>
      </c>
      <c r="M12" s="14">
        <v>205.98732639450526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930.91751331692296</v>
      </c>
      <c r="F13" s="62">
        <f>220/0.22</f>
        <v>1000</v>
      </c>
      <c r="G13" s="65">
        <f>(184.99/0.18+139.99/0.18+192.99/0.18)/3</f>
        <v>959.20370370370381</v>
      </c>
      <c r="H13" s="62">
        <f>(430/0.5+190/0.18)/2</f>
        <v>957.77777777777783</v>
      </c>
      <c r="I13" s="66"/>
      <c r="J13" s="76">
        <f>(141/0.2+165/0.18+199/0.18+135.99/0.18)/4</f>
        <v>870.68055555555566</v>
      </c>
      <c r="K13" s="67">
        <f>(119.99/0.18+179.99/0.2+189.99/0.18)/3</f>
        <v>874.02037037037042</v>
      </c>
      <c r="L13" s="10">
        <f>(E13/M13)*100-100</f>
        <v>0.6801244240623987</v>
      </c>
      <c r="M13" s="14">
        <v>924.62888642838732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129.59333838787245</v>
      </c>
      <c r="F14" s="62">
        <v>140</v>
      </c>
      <c r="G14" s="73">
        <f>(114.95+99.99/0.9+109.99+139.99)/4</f>
        <v>119.00750000000001</v>
      </c>
      <c r="H14" s="62">
        <f>(140+150/0.8)/2</f>
        <v>163.75</v>
      </c>
      <c r="I14" s="66"/>
      <c r="J14" s="67">
        <f>(89.99+119.99+124.99)/3</f>
        <v>111.65666666666665</v>
      </c>
      <c r="K14" s="62">
        <f>(109.99+119.99+129.99)/3</f>
        <v>119.99000000000001</v>
      </c>
      <c r="L14" s="10">
        <f t="shared" si="1"/>
        <v>0.91131336627424275</v>
      </c>
      <c r="M14" s="14">
        <v>128.42300240161583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90.973867301392204</v>
      </c>
      <c r="F15" s="62">
        <f>85/0.9</f>
        <v>94.444444444444443</v>
      </c>
      <c r="G15" s="73">
        <f>(74.99/0.9+75.99/0.9+83.99/0.9+85.99/0.9)/4</f>
        <v>89.155555555555537</v>
      </c>
      <c r="H15" s="73">
        <f>(85/0.9+95/0.9)/2</f>
        <v>100</v>
      </c>
      <c r="I15" s="66"/>
      <c r="J15" s="67">
        <f>(89+72.99/0.9+77.49/0.9)/3</f>
        <v>85.399999999999991</v>
      </c>
      <c r="K15" s="67">
        <f>(59.99/0.8+77.99/0.8+174.99/2+77.99/0.9)/4</f>
        <v>86.656388888888884</v>
      </c>
      <c r="L15" s="10">
        <f t="shared" si="1"/>
        <v>6.2429815161266333E-2</v>
      </c>
      <c r="M15" s="14">
        <v>90.917107918968426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87.539639888835865</v>
      </c>
      <c r="F16" s="62">
        <v>90</v>
      </c>
      <c r="G16" s="73">
        <f>(57.99/0.9+82.99/0.9+99.99/0.9)/3</f>
        <v>89.248148148148132</v>
      </c>
      <c r="H16" s="62">
        <f>(75/0.9+115/0.95+100)/3</f>
        <v>101.46198830409357</v>
      </c>
      <c r="I16" s="66"/>
      <c r="J16" s="76">
        <f>(56.99/0.9+77.99/0.9+87.99)/3</f>
        <v>79.322592592592585</v>
      </c>
      <c r="K16" s="67">
        <f>(65.99+84.99/0.98+84.99/0.99)/3</f>
        <v>79.520991548134404</v>
      </c>
      <c r="L16" s="10">
        <f t="shared" si="1"/>
        <v>0.76071675029972141</v>
      </c>
      <c r="M16" s="14">
        <v>86.878738770559082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94.144966408886958</v>
      </c>
      <c r="F17" s="63">
        <f>90/0.9</f>
        <v>100</v>
      </c>
      <c r="G17" s="89">
        <f>(69.99/0.9+66.99/0.9+84.99/0.9+92.99/0.9)/4</f>
        <v>87.48888888888888</v>
      </c>
      <c r="H17" s="63">
        <f>90/0.9</f>
        <v>100</v>
      </c>
      <c r="I17" s="51"/>
      <c r="J17" s="63">
        <f>(79.99/0.9+82.99+38.99/0.4+42.99/0.4)/4</f>
        <v>94.204444444444448</v>
      </c>
      <c r="K17" s="63">
        <f>(75.99/0.95+54.99/0.5+42.99/0.5+82.99)/4</f>
        <v>89.734868421052639</v>
      </c>
      <c r="L17" s="10">
        <f t="shared" si="1"/>
        <v>0.58150968500827105</v>
      </c>
      <c r="M17" s="14">
        <v>93.60066945079798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256.12425912682215</v>
      </c>
      <c r="F18" s="63">
        <f>(85/0.4+110/0.4+132/0.5)/3</f>
        <v>250.5</v>
      </c>
      <c r="G18" s="63">
        <f>(69.99/0.3+79.99/0.3+99.99/0.5+119.99/0.5+149.99/0.5)/5</f>
        <v>247.97466666666668</v>
      </c>
      <c r="H18" s="63">
        <f>(125/0.47+155/0.5)/2</f>
        <v>287.97872340425533</v>
      </c>
      <c r="I18" s="51"/>
      <c r="J18" s="63">
        <f>(114.99/0.5+119.99/0.5+139.99/0.5+71.99/0.3+81.99/0.3)/5</f>
        <v>252.64133333333334</v>
      </c>
      <c r="K18" s="63">
        <f>(99.99/0.4+109.99/0.5+122.99/0.47)/3</f>
        <v>243.87861702127657</v>
      </c>
      <c r="L18" s="10">
        <f t="shared" si="1"/>
        <v>0</v>
      </c>
      <c r="M18" s="53">
        <v>256.12425912682215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388.13151400447185</v>
      </c>
      <c r="F19" s="63">
        <f>(205/0.5+152/0.4+165/0.4)/3</f>
        <v>400.83333333333331</v>
      </c>
      <c r="G19" s="63">
        <f>(79.99/0.3+93.99/0.3+99.99/0.3+139.99/0.3)/4</f>
        <v>344.9666666666667</v>
      </c>
      <c r="H19" s="63">
        <f>(170/0.4+190/0.5)/2</f>
        <v>402.5</v>
      </c>
      <c r="I19" s="51"/>
      <c r="J19" s="63">
        <f>(99.99/0.35+138.99/0.33+144.99/0.38+179.99/0.38)/4</f>
        <v>390.51951469583048</v>
      </c>
      <c r="K19" s="63">
        <f>(129.99/0.3+119.99/0.3+149.99/0.33+99.99/0.3)/4</f>
        <v>405.27045454545453</v>
      </c>
      <c r="L19" s="10">
        <f t="shared" si="1"/>
        <v>0</v>
      </c>
      <c r="M19" s="53">
        <v>388.13151400447185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113.49669976597995</v>
      </c>
      <c r="F20" s="77">
        <v>130</v>
      </c>
      <c r="G20" s="73">
        <f>(79.99+89.99+109.99+129.99)/4</f>
        <v>102.49</v>
      </c>
      <c r="H20" s="62">
        <v>130</v>
      </c>
      <c r="I20" s="66"/>
      <c r="J20" s="67">
        <f>(99.99+107.99+114.99)/3</f>
        <v>107.65666666666665</v>
      </c>
      <c r="K20" s="76">
        <f>(94.99+99+109)/3</f>
        <v>100.99666666666667</v>
      </c>
      <c r="L20" s="10">
        <f t="shared" si="1"/>
        <v>3.3768362218710593</v>
      </c>
      <c r="M20" s="53">
        <v>109.78929508191689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77.68578207246513</v>
      </c>
      <c r="F21" s="62">
        <v>90</v>
      </c>
      <c r="G21" s="62">
        <f>(359.99/5+69.99)/2</f>
        <v>70.994</v>
      </c>
      <c r="H21" s="62">
        <v>90</v>
      </c>
      <c r="I21" s="66"/>
      <c r="J21" s="67">
        <f>(69.99+347.99/5)/2</f>
        <v>69.793999999999997</v>
      </c>
      <c r="K21" s="67">
        <f>(69+359.99/5)/2</f>
        <v>70.498999999999995</v>
      </c>
      <c r="L21" s="10">
        <f t="shared" si="1"/>
        <v>-0.13983895623809417</v>
      </c>
      <c r="M21" s="53">
        <v>77.794569186024788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928.83663536346955</v>
      </c>
      <c r="F22" s="62">
        <f>140/0.1</f>
        <v>1400</v>
      </c>
      <c r="G22" s="62">
        <f>(24.89/0.1+139.99/0.25+169.99/0.1+119.99/0.1)/4</f>
        <v>927.16499999999996</v>
      </c>
      <c r="H22" s="62">
        <f>250/0.2</f>
        <v>1250</v>
      </c>
      <c r="I22" s="66"/>
      <c r="J22" s="67">
        <f>(29.99/0.11+149.99/0.25)/2</f>
        <v>436.29818181818183</v>
      </c>
      <c r="K22" s="67">
        <f>(89.99/0.1+169.99/0.25+269.99/0.2)/3</f>
        <v>976.60333333333335</v>
      </c>
      <c r="L22" s="52">
        <f t="shared" si="1"/>
        <v>0</v>
      </c>
      <c r="M22" s="53">
        <v>928.83663536346955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23.390269619106345</v>
      </c>
      <c r="F23" s="62">
        <v>35</v>
      </c>
      <c r="G23" s="62">
        <v>18.989999999999998</v>
      </c>
      <c r="H23" s="62">
        <v>30</v>
      </c>
      <c r="I23" s="66"/>
      <c r="J23" s="67">
        <f>(13.99+22.99)/2</f>
        <v>18.489999999999998</v>
      </c>
      <c r="K23" s="67">
        <f>18.99</f>
        <v>18.989999999999998</v>
      </c>
      <c r="L23" s="52">
        <f t="shared" si="1"/>
        <v>0</v>
      </c>
      <c r="M23" s="53">
        <v>23.390269619106345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52.288656814410288</v>
      </c>
      <c r="F24" s="62">
        <f>(110/2+140/2)/2</f>
        <v>62.5</v>
      </c>
      <c r="G24" s="62">
        <f>(59.99/2+107.99/2+129.99/2)/3</f>
        <v>49.661666666666669</v>
      </c>
      <c r="H24" s="62">
        <f>(110+130)/4</f>
        <v>60</v>
      </c>
      <c r="I24" s="66"/>
      <c r="J24" s="67">
        <f>(59.99/2+99.99/2+119.9/2)/3</f>
        <v>46.646666666666668</v>
      </c>
      <c r="K24" s="67">
        <f>(69.99/2+109.99/2)/2</f>
        <v>44.994999999999997</v>
      </c>
      <c r="L24" s="52">
        <f t="shared" si="1"/>
        <v>0</v>
      </c>
      <c r="M24" s="53">
        <v>52.288656814410288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88.393285090212828</v>
      </c>
      <c r="F25" s="62">
        <v>90</v>
      </c>
      <c r="G25" s="62">
        <f>(46.99/0.5+49.99/0.5)/2</f>
        <v>96.98</v>
      </c>
      <c r="H25" s="62">
        <f>45/0.5</f>
        <v>90</v>
      </c>
      <c r="I25" s="66"/>
      <c r="J25" s="67">
        <f>(39.99/0.5+43.99/0.5)/2</f>
        <v>83.98</v>
      </c>
      <c r="K25" s="62">
        <f>44.99/0.55</f>
        <v>81.8</v>
      </c>
      <c r="L25" s="52">
        <f t="shared" si="1"/>
        <v>0</v>
      </c>
      <c r="M25" s="53">
        <v>88.393285090212828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87.875100296979369</v>
      </c>
      <c r="F26" s="62">
        <v>90</v>
      </c>
      <c r="G26" s="62">
        <f>45.99/0.5</f>
        <v>91.98</v>
      </c>
      <c r="H26" s="62">
        <f>45/0.5</f>
        <v>90</v>
      </c>
      <c r="I26" s="66"/>
      <c r="J26" s="67">
        <f>(39.99/0.5+45.99/0.5)/2</f>
        <v>85.98</v>
      </c>
      <c r="K26" s="62">
        <f>44.99/0.55</f>
        <v>81.8</v>
      </c>
      <c r="L26" s="52">
        <f t="shared" si="1"/>
        <v>0</v>
      </c>
      <c r="M26" s="53">
        <v>87.875100296979369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96.339828028038895</v>
      </c>
      <c r="F27" s="63">
        <f>60/0.8</f>
        <v>75</v>
      </c>
      <c r="G27" s="63">
        <f>(37.99/0.8+102.99/0.8)/2</f>
        <v>88.112499999999983</v>
      </c>
      <c r="H27" s="63">
        <f>100/0.9</f>
        <v>111.11111111111111</v>
      </c>
      <c r="I27" s="64"/>
      <c r="J27" s="63">
        <f>(39.99/0.8+64.99+99.99/0.9)/3</f>
        <v>75.359166666666667</v>
      </c>
      <c r="K27" s="63">
        <f>(39.99/0.8+99.99/0.4)/2</f>
        <v>149.98124999999999</v>
      </c>
      <c r="L27" s="52">
        <f t="shared" si="1"/>
        <v>0</v>
      </c>
      <c r="M27" s="53">
        <v>96.339828028038895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129.77722011613511</v>
      </c>
      <c r="F28" s="62">
        <f>(200/1.5+140/0.9)/2</f>
        <v>144.44444444444446</v>
      </c>
      <c r="G28" s="62">
        <f>(92.99/0.8+89.99/0.8+119.99/0.8)/3</f>
        <v>126.2375</v>
      </c>
      <c r="H28" s="62">
        <f>(150/0.9+220/1.5)/2</f>
        <v>156.66666666666666</v>
      </c>
      <c r="I28" s="66"/>
      <c r="J28" s="76">
        <f>(79.99/0.8+92.99/0.9)/2</f>
        <v>101.6548611111111</v>
      </c>
      <c r="K28" s="76">
        <f>(84.9/0.8+115.9/0.8+109.9/0.85)/3</f>
        <v>126.76470588235294</v>
      </c>
      <c r="L28" s="52">
        <f t="shared" si="1"/>
        <v>1.5241632255092981</v>
      </c>
      <c r="M28" s="53">
        <v>127.82889904531304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75.893462937923772</v>
      </c>
      <c r="F29" s="65">
        <f>90/0.9</f>
        <v>100</v>
      </c>
      <c r="G29" s="74">
        <f>43.8/0.9</f>
        <v>48.666666666666664</v>
      </c>
      <c r="H29" s="65">
        <f>100/0.8</f>
        <v>125</v>
      </c>
      <c r="I29" s="66"/>
      <c r="J29" s="76">
        <f>43.99/0.75</f>
        <v>58.653333333333336</v>
      </c>
      <c r="K29" s="67">
        <f>59.98/0.85</f>
        <v>70.564705882352939</v>
      </c>
      <c r="L29" s="52">
        <f t="shared" si="1"/>
        <v>2.1562642305583495</v>
      </c>
      <c r="M29" s="54">
        <v>74.291541012735578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77.759640066268261</v>
      </c>
      <c r="F30" s="63">
        <f>80/0.8</f>
        <v>100</v>
      </c>
      <c r="G30" s="63">
        <f>(43.99/0.8+69.99/0.7)/2</f>
        <v>77.486607142857139</v>
      </c>
      <c r="H30" s="63">
        <f>100/0.9</f>
        <v>111.11111111111111</v>
      </c>
      <c r="I30" s="64"/>
      <c r="J30" s="63">
        <f>39.99/0.8</f>
        <v>49.987499999999997</v>
      </c>
      <c r="K30" s="63">
        <f>(59.99/0.8+39.99/0.7)/2</f>
        <v>66.058035714285722</v>
      </c>
      <c r="L30" s="52">
        <f t="shared" si="1"/>
        <v>0</v>
      </c>
      <c r="M30" s="54">
        <v>77.759640066268261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104.08721363599241</v>
      </c>
      <c r="F31" s="65">
        <f>120/0.9</f>
        <v>133.33333333333334</v>
      </c>
      <c r="G31" s="65">
        <f>(33.99/0.8+79.99/0.8+119.99/0.8)/3</f>
        <v>97.487499999999997</v>
      </c>
      <c r="H31" s="65">
        <f>120/0.9</f>
        <v>133.33333333333334</v>
      </c>
      <c r="I31" s="66"/>
      <c r="J31" s="67">
        <f>(33.99/0.8+64.99/0.8+86.99/0.9+84.99/0.9)/4</f>
        <v>78.703472222222217</v>
      </c>
      <c r="K31" s="65">
        <f>(34.99/0.8+79.99/0.8+99.99/0.8)/3</f>
        <v>89.570833333333326</v>
      </c>
      <c r="L31" s="52">
        <f t="shared" si="1"/>
        <v>0</v>
      </c>
      <c r="M31" s="54">
        <v>104.08721363599241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69.281942559764204</v>
      </c>
      <c r="F32" s="70"/>
      <c r="G32" s="63">
        <f>(20/0.4+69.99/0.8+39.99/0.8)/3</f>
        <v>62.491666666666653</v>
      </c>
      <c r="H32" s="63">
        <f>80/0.8</f>
        <v>100</v>
      </c>
      <c r="I32" s="51"/>
      <c r="J32" s="63">
        <f>(14.99/0.4+59.99/0.9)/2</f>
        <v>52.06527777777778</v>
      </c>
      <c r="K32" s="63">
        <f>(29.99/0.4+34.99/0.4+39.99/0.8)/3</f>
        <v>70.8125</v>
      </c>
      <c r="L32" s="52">
        <f t="shared" si="1"/>
        <v>0</v>
      </c>
      <c r="M32" s="54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3">
        <f>85/0.6</f>
        <v>141.66666666666669</v>
      </c>
      <c r="G33" s="63">
        <f>30.99/0.8</f>
        <v>38.737499999999997</v>
      </c>
      <c r="H33" s="63">
        <f>80/0.65</f>
        <v>123.07692307692307</v>
      </c>
      <c r="I33" s="51"/>
      <c r="J33" s="63">
        <f>22.99/0.6</f>
        <v>38.316666666666663</v>
      </c>
      <c r="K33" s="63">
        <f>34.99/0.7</f>
        <v>49.985714285714295</v>
      </c>
      <c r="L33" s="52">
        <f>(E33/M33)*100-100</f>
        <v>0</v>
      </c>
      <c r="M33" s="54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93.207539273016948</v>
      </c>
      <c r="F34" s="65">
        <f>90</f>
        <v>90</v>
      </c>
      <c r="G34" s="65">
        <f>(52.99/0.45+20.99/0.45)/2</f>
        <v>82.2</v>
      </c>
      <c r="H34" s="65">
        <f>80/0.47</f>
        <v>170.21276595744681</v>
      </c>
      <c r="I34" s="66"/>
      <c r="J34" s="67">
        <f>(19.99/0.4+49.99/0.4)/2</f>
        <v>87.474999999999994</v>
      </c>
      <c r="K34" s="67">
        <f>(19.99/0.4+34.99/0.45)/2</f>
        <v>63.865277777777777</v>
      </c>
      <c r="L34" s="52">
        <f t="shared" si="1"/>
        <v>0</v>
      </c>
      <c r="M34" s="54">
        <v>93.207539273016948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90.199365344213732</v>
      </c>
      <c r="F35" s="63">
        <f>80/0.4</f>
        <v>200</v>
      </c>
      <c r="G35" s="63">
        <f>22.99/0.4</f>
        <v>57.474999999999994</v>
      </c>
      <c r="H35" s="63">
        <f>70/0.8</f>
        <v>87.5</v>
      </c>
      <c r="I35" s="64"/>
      <c r="J35" s="63">
        <f>(18.99/0.4+31.49/0.4)/2</f>
        <v>63.099999999999994</v>
      </c>
      <c r="K35" s="63">
        <f>(34.99/0.4+39.99/0.45+19.99/0.45+69.99/0.45)/4</f>
        <v>94.074305555555554</v>
      </c>
      <c r="L35" s="52">
        <f t="shared" si="1"/>
        <v>0</v>
      </c>
      <c r="M35" s="54">
        <v>90.199365344213732</v>
      </c>
      <c r="N35" s="78"/>
      <c r="O35" s="79"/>
      <c r="P35" s="79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45.485640844191046</v>
      </c>
      <c r="F36" s="65">
        <v>45</v>
      </c>
      <c r="G36" s="74">
        <v>42.99</v>
      </c>
      <c r="H36" s="65">
        <v>45</v>
      </c>
      <c r="I36" s="66"/>
      <c r="J36" s="76">
        <f>(38.99+50.49)/2</f>
        <v>44.74</v>
      </c>
      <c r="K36" s="67">
        <v>49.99</v>
      </c>
      <c r="L36" s="52">
        <f t="shared" si="1"/>
        <v>2.3178122540364683</v>
      </c>
      <c r="M36" s="54">
        <v>44.455251575608841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40.100664014071775</v>
      </c>
      <c r="F37" s="65">
        <v>50</v>
      </c>
      <c r="G37" s="74">
        <v>32.99</v>
      </c>
      <c r="H37" s="65">
        <v>50</v>
      </c>
      <c r="I37" s="66"/>
      <c r="J37" s="67">
        <v>33.99</v>
      </c>
      <c r="K37" s="67">
        <v>36.99</v>
      </c>
      <c r="L37" s="52">
        <f t="shared" si="1"/>
        <v>-0.5954576509893883</v>
      </c>
      <c r="M37" s="54">
        <v>40.340876851761799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45.322740646419312</v>
      </c>
      <c r="F38" s="65">
        <f>(40+60)/2</f>
        <v>50</v>
      </c>
      <c r="G38" s="74">
        <v>42.99</v>
      </c>
      <c r="H38" s="74">
        <v>45</v>
      </c>
      <c r="I38" s="66"/>
      <c r="J38" s="76">
        <v>45.99</v>
      </c>
      <c r="K38" s="67">
        <v>42.99</v>
      </c>
      <c r="L38" s="52">
        <f t="shared" si="1"/>
        <v>5.2865525448459749</v>
      </c>
      <c r="M38" s="54">
        <v>43.04703644571746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44.840716854276657</v>
      </c>
      <c r="F39" s="65">
        <v>60</v>
      </c>
      <c r="G39" s="74">
        <v>27.99</v>
      </c>
      <c r="H39" s="74">
        <v>50</v>
      </c>
      <c r="I39" s="66"/>
      <c r="J39" s="76">
        <v>26.99</v>
      </c>
      <c r="K39" s="67">
        <v>79.989999999999995</v>
      </c>
      <c r="L39" s="52">
        <f>(E39/M39)*100-100</f>
        <v>-2.0845833025306746</v>
      </c>
      <c r="M39" s="54">
        <v>45.795359266888141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154.3055362580721</v>
      </c>
      <c r="F40" s="68">
        <v>200</v>
      </c>
      <c r="G40" s="75">
        <f>(99.99+129.99+144.99)/3</f>
        <v>124.99000000000001</v>
      </c>
      <c r="H40" s="68">
        <v>200</v>
      </c>
      <c r="I40" s="69"/>
      <c r="J40" s="72">
        <f>(109.99+129.99+134.99)/3</f>
        <v>124.99000000000001</v>
      </c>
      <c r="K40" s="90">
        <f>(129.99+139.99+149.99)/3</f>
        <v>139.99</v>
      </c>
      <c r="L40" s="55">
        <f>(E40/M40)*100-100</f>
        <v>1.5558922603619294</v>
      </c>
      <c r="M40" s="56">
        <v>151.9414903691401</v>
      </c>
    </row>
    <row r="41" spans="2:16" ht="34.5" customHeight="1" x14ac:dyDescent="0.2">
      <c r="C41" s="41"/>
      <c r="D41" s="42"/>
      <c r="E41" s="43"/>
      <c r="F41" s="3"/>
      <c r="G41" s="57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57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57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57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57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57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57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57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57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57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2024-11-15T05:54:35Z</cp:lastPrinted>
  <dcterms:created xsi:type="dcterms:W3CDTF">2007-04-16T07:34:00Z</dcterms:created>
  <dcterms:modified xsi:type="dcterms:W3CDTF">2024-11-15T06:30:25Z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