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12. Дека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0" i="1" l="1"/>
  <c r="K17" i="1"/>
  <c r="K16" i="1"/>
  <c r="K15" i="1"/>
  <c r="K11" i="1"/>
  <c r="J40" i="1"/>
  <c r="J37" i="1"/>
  <c r="J36" i="1"/>
  <c r="J11" i="1"/>
  <c r="H34" i="1"/>
  <c r="J31" i="1"/>
  <c r="H31" i="1"/>
  <c r="H19" i="1"/>
  <c r="H17" i="1"/>
  <c r="H18" i="1"/>
  <c r="G26" i="1"/>
  <c r="G20" i="1"/>
  <c r="G16" i="1"/>
  <c r="G15" i="1"/>
  <c r="G14" i="1"/>
  <c r="F17" i="1"/>
  <c r="K37" i="1" l="1"/>
  <c r="J35" i="1"/>
  <c r="J34" i="1"/>
  <c r="J16" i="1"/>
  <c r="J13" i="1"/>
  <c r="G35" i="1"/>
  <c r="G34" i="1"/>
  <c r="G29" i="1"/>
  <c r="G24" i="1"/>
  <c r="G13" i="1"/>
  <c r="K38" i="1" l="1"/>
  <c r="K26" i="1"/>
  <c r="K25" i="1"/>
  <c r="K18" i="1"/>
  <c r="K13" i="1"/>
  <c r="J26" i="1"/>
  <c r="J25" i="1"/>
  <c r="J20" i="1"/>
  <c r="J19" i="1"/>
  <c r="H13" i="1"/>
  <c r="G40" i="1"/>
  <c r="G25" i="1"/>
  <c r="G19" i="1"/>
  <c r="G18" i="1"/>
  <c r="K40" i="1" l="1"/>
  <c r="K30" i="1"/>
  <c r="K29" i="1"/>
  <c r="K28" i="1"/>
  <c r="K21" i="1" l="1"/>
  <c r="K14" i="1"/>
  <c r="J29" i="1" l="1"/>
  <c r="J28" i="1"/>
  <c r="H15" i="1"/>
  <c r="G17" i="1"/>
  <c r="K24" i="1" l="1"/>
  <c r="J14" i="1"/>
  <c r="G11" i="1" l="1"/>
  <c r="K31" i="1" l="1"/>
  <c r="G32" i="1" l="1"/>
  <c r="G31" i="1"/>
  <c r="G28" i="1"/>
  <c r="L9" i="1" l="1"/>
  <c r="L10" i="1"/>
  <c r="L22" i="1"/>
  <c r="L27" i="1"/>
  <c r="L33" i="1"/>
  <c r="F13" i="1" l="1"/>
  <c r="F19" i="1"/>
  <c r="F15" i="1"/>
  <c r="G21" i="1" l="1"/>
  <c r="J24" i="1" l="1"/>
  <c r="J15" i="1"/>
  <c r="H26" i="1"/>
  <c r="H25" i="1"/>
  <c r="J21" i="1" l="1"/>
  <c r="G30" i="1" l="1"/>
  <c r="G33" i="1"/>
  <c r="J23" i="1"/>
  <c r="E22" i="1" l="1"/>
  <c r="E21" i="1" l="1"/>
  <c r="L21" i="1" s="1"/>
  <c r="K19" i="1" l="1"/>
  <c r="J22" i="1" l="1"/>
  <c r="F38" i="1" l="1"/>
  <c r="K33" i="1"/>
  <c r="J17" i="1" l="1"/>
  <c r="J27" i="1" l="1"/>
  <c r="K12" i="1"/>
  <c r="K34" i="1"/>
  <c r="K27" i="1"/>
  <c r="E8" i="1" l="1"/>
  <c r="L8" i="1" s="1"/>
  <c r="J18" i="1" l="1"/>
  <c r="H11" i="1" l="1"/>
  <c r="G27" i="1" l="1"/>
  <c r="H16" i="1" l="1"/>
  <c r="F18" i="1" l="1"/>
  <c r="F24" i="1" l="1"/>
  <c r="H32" i="1" l="1"/>
  <c r="H28" i="1"/>
  <c r="J33" i="1" l="1"/>
  <c r="J30" i="1"/>
  <c r="H24" i="1"/>
  <c r="G22" i="1" l="1"/>
  <c r="J32" i="1" l="1"/>
  <c r="H30" i="1" l="1"/>
  <c r="E38" i="1" l="1"/>
  <c r="L38" i="1" s="1"/>
  <c r="E11" i="1" l="1"/>
  <c r="L11" i="1" s="1"/>
  <c r="E9" i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K22" i="1" l="1"/>
  <c r="H29" i="1"/>
  <c r="H33" i="1" l="1"/>
  <c r="K32" i="1"/>
  <c r="K35" i="1"/>
  <c r="E32" i="1" l="1"/>
  <c r="L32" i="1" s="1"/>
  <c r="H35" i="1" l="1"/>
  <c r="H27" i="1"/>
  <c r="H12" i="1"/>
  <c r="E12" i="1" s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<sst xmlns="http://schemas.openxmlformats.org/spreadsheetml/2006/main" count="81" uniqueCount="53">
  <si>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</si>
  <si>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</si>
  <si>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</si>
  <si>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</si>
  <si>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</si>
  <si>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</si>
  <si>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</si>
  <si>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</si>
  <si>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</si>
  <si>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</si>
  <si>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</si>
  <si>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</si>
  <si>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</si>
  <si>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</si>
  <si>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</si>
  <si>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</si>
  <si>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</si>
  <si>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</si>
  <si>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</si>
  <si>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</si>
  <si>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</si>
  <si>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</si>
  <si>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</si>
  <si>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</si>
  <si>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</si>
  <si>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</si>
  <si>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</si>
  <si>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</si>
  <si>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</si>
  <si>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</si>
  <si>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</si>
  <si>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</si>
  <si>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</si>
  <si>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</si>
  <si>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</si>
  <si>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</si>
  <si>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</si>
  <si>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</si>
  <si>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</si>
  <si>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</si>
  <si>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</si>
  <si>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</si>
  <si>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</si>
  <si>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</si>
  <si>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</si>
  <si>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</si>
  <si>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</si>
  <si>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</si>
  <si>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</si>
  <si>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</si>
  <si>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13.12.2024 г.</t>
  </si>
  <si>
    <t>РЕГИОНАЛЬНЫЙ ИНФОРМАЦИОННЫЙ МОНИТОРИНГ ЦЕН
декабрь 2024 г</t>
  </si>
  <si>
    <t>Ср. цены на 06.12.2024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</si>
</sst>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3" fillId="2" borderId="0" xfId="0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F8" sqref="F8:K4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5" t="s">
        <v>50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5" ht="12.75" customHeight="1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51</v>
      </c>
      <c r="D4" s="29"/>
      <c r="E4" s="29"/>
      <c r="F4" s="72" t="s">
        <v>38</v>
      </c>
      <c r="G4" s="72" t="s">
        <v>39</v>
      </c>
      <c r="H4" s="72" t="s">
        <v>40</v>
      </c>
      <c r="I4" s="72" t="s">
        <v>41</v>
      </c>
      <c r="J4" s="72" t="s">
        <v>42</v>
      </c>
      <c r="K4" s="72" t="s">
        <v>43</v>
      </c>
      <c r="L4" s="72" t="s">
        <v>44</v>
      </c>
      <c r="M4" s="76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3"/>
      <c r="G5" s="73"/>
      <c r="H5" s="73"/>
      <c r="I5" s="73"/>
      <c r="J5" s="73"/>
      <c r="K5" s="73"/>
      <c r="L5" s="73"/>
      <c r="M5" s="77"/>
    </row>
    <row r="6" spans="1:15" ht="18.75" x14ac:dyDescent="0.2">
      <c r="A6" s="26"/>
      <c r="B6" s="30"/>
      <c r="C6" s="34" t="s">
        <v>49</v>
      </c>
      <c r="D6" s="35"/>
      <c r="E6" s="36"/>
      <c r="F6" s="73"/>
      <c r="G6" s="73"/>
      <c r="H6" s="73"/>
      <c r="I6" s="73"/>
      <c r="J6" s="73"/>
      <c r="K6" s="73"/>
      <c r="L6" s="73"/>
      <c r="M6" s="77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4"/>
      <c r="G7" s="74"/>
      <c r="H7" s="74"/>
      <c r="I7" s="74"/>
      <c r="J7" s="74"/>
      <c r="K7" s="74"/>
      <c r="L7" s="74"/>
      <c r="M7" s="77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8"/>
      <c r="G8" s="58"/>
      <c r="H8" s="59"/>
      <c r="I8" s="60">
        <v>295</v>
      </c>
      <c r="J8" s="61">
        <v>360</v>
      </c>
      <c r="K8" s="61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520</v>
      </c>
      <c r="F9" s="62"/>
      <c r="G9" s="62"/>
      <c r="H9" s="69"/>
      <c r="I9" s="65">
        <v>520</v>
      </c>
      <c r="J9" s="66"/>
      <c r="K9" s="66"/>
      <c r="L9" s="10">
        <f t="shared" ref="L9:L38" si="1">(E9/M9)*100-100</f>
        <v>0</v>
      </c>
      <c r="M9" s="14">
        <v>520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69"/>
      <c r="I10" s="65">
        <v>750</v>
      </c>
      <c r="J10" s="66"/>
      <c r="K10" s="66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265.06744285891477</v>
      </c>
      <c r="F11" s="62">
        <v>320</v>
      </c>
      <c r="G11" s="62">
        <f>(179.99+239.99)/2</f>
        <v>209.99</v>
      </c>
      <c r="H11" s="62">
        <f>(350+330+300)/3</f>
        <v>326.66666666666669</v>
      </c>
      <c r="I11" s="65">
        <v>350</v>
      </c>
      <c r="J11" s="66">
        <f>(199.99+229.99)/2</f>
        <v>214.99</v>
      </c>
      <c r="K11" s="66">
        <f>(219.99+199.99)/2</f>
        <v>209.99</v>
      </c>
      <c r="L11" s="52">
        <f t="shared" si="1"/>
        <v>1.2026583200960346</v>
      </c>
      <c r="M11" s="14">
        <v>261.91747060687612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207.95913447744601</v>
      </c>
      <c r="F12" s="62">
        <v>250</v>
      </c>
      <c r="G12" s="62">
        <v>179.99</v>
      </c>
      <c r="H12" s="62">
        <f>(220+250)/2</f>
        <v>235</v>
      </c>
      <c r="I12" s="65">
        <v>250</v>
      </c>
      <c r="J12" s="66">
        <v>169.99</v>
      </c>
      <c r="K12" s="66">
        <f>(169.99+189.99)/2</f>
        <v>179.99</v>
      </c>
      <c r="L12" s="52">
        <f t="shared" si="1"/>
        <v>0.95724728188586994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953.14720289211482</v>
      </c>
      <c r="F13" s="62">
        <f>220/0.22</f>
        <v>1000</v>
      </c>
      <c r="G13" s="64">
        <f>(184.99/0.18+139.99/0.18+192.99/0.18+239.99/0.2)/4</f>
        <v>1019.3902777777778</v>
      </c>
      <c r="H13" s="62">
        <f>(430/0.5+190/0.18)/2</f>
        <v>957.77777777777783</v>
      </c>
      <c r="I13" s="65"/>
      <c r="J13" s="66">
        <f>(149.99/0.18+165/0.18+199/0.18+135.99/0.18)/4</f>
        <v>902.75</v>
      </c>
      <c r="K13" s="66">
        <f>(119.99/0.18+179.99/0.2+199.99/0.18)/3</f>
        <v>892.53888888888889</v>
      </c>
      <c r="L13" s="52">
        <f>(E13/M13)*100-100</f>
        <v>0</v>
      </c>
      <c r="M13" s="14">
        <v>953.14720289211482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129.86443951427469</v>
      </c>
      <c r="F14" s="62">
        <v>140</v>
      </c>
      <c r="G14" s="62">
        <f>(119.95+99.99/0.9+109.99+139.99)/4</f>
        <v>120.25750000000001</v>
      </c>
      <c r="H14" s="62">
        <f>(140+150/0.8)/2</f>
        <v>163.75</v>
      </c>
      <c r="I14" s="65"/>
      <c r="J14" s="66">
        <f>(89.99+119.99+124.99)/3</f>
        <v>111.65666666666665</v>
      </c>
      <c r="K14" s="62">
        <f>(109.99+119.99+129.99)/3</f>
        <v>119.99000000000001</v>
      </c>
      <c r="L14" s="52">
        <f t="shared" si="1"/>
        <v>0.20919372073804254</v>
      </c>
      <c r="M14" s="14">
        <v>129.59333838787245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91.959877442701767</v>
      </c>
      <c r="F15" s="62">
        <f>85/0.9</f>
        <v>94.444444444444443</v>
      </c>
      <c r="G15" s="62">
        <f>(74.99/0.9+75.99/0.9+83.99/0.9+93.5/0.9)/4</f>
        <v>91.241666666666646</v>
      </c>
      <c r="H15" s="62">
        <f>(85/0.9+95/0.9)/2</f>
        <v>100</v>
      </c>
      <c r="I15" s="65"/>
      <c r="J15" s="66">
        <f>(89+72.99/0.9+77.49/0.9)/3</f>
        <v>85.399999999999991</v>
      </c>
      <c r="K15" s="66">
        <f>(59.99/0.8+77.99/0.8+174.99/2+77.99/0.8)/4</f>
        <v>89.364374999999995</v>
      </c>
      <c r="L15" s="52">
        <f t="shared" si="1"/>
        <v>0.83375209311542164</v>
      </c>
      <c r="M15" s="14">
        <v>91.19949970500052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90.379385964030973</v>
      </c>
      <c r="F16" s="62">
        <v>90</v>
      </c>
      <c r="G16" s="62">
        <f>(59.99/0.9+83.99/0.9+99.99/0.9)/3</f>
        <v>90.359259259259261</v>
      </c>
      <c r="H16" s="62">
        <f>(75/0.9+115/0.95+100)/3</f>
        <v>101.46198830409357</v>
      </c>
      <c r="I16" s="65"/>
      <c r="J16" s="66">
        <f>(56.99/0.8+77.99/0.9+87.99)/3</f>
        <v>81.961018518518514</v>
      </c>
      <c r="K16" s="66">
        <f>(84.99/0.95+79.99/0.9)/2</f>
        <v>89.170467836257302</v>
      </c>
      <c r="L16" s="52">
        <f t="shared" si="1"/>
        <v>0.47526598781372797</v>
      </c>
      <c r="M16" s="14">
        <v>89.951875295351542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95.699649443075799</v>
      </c>
      <c r="F17" s="63">
        <f>95/0.9</f>
        <v>105.55555555555556</v>
      </c>
      <c r="G17" s="63">
        <f>(69.99/0.9+66.99/0.9+84.99/0.9+92.99/0.9)/4</f>
        <v>87.48888888888888</v>
      </c>
      <c r="H17" s="63">
        <f>92/0.9</f>
        <v>102.22222222222221</v>
      </c>
      <c r="I17" s="51"/>
      <c r="J17" s="63">
        <f>(79.99/0.9+82.99+38.99/0.4+42.99/0.4)/4</f>
        <v>94.204444444444448</v>
      </c>
      <c r="K17" s="63">
        <f>(77.99/0.95+54.99/0.5+42.99/0.5+82.99)/4</f>
        <v>90.261184210526324</v>
      </c>
      <c r="L17" s="52">
        <f t="shared" si="1"/>
        <v>1.6513713834009849</v>
      </c>
      <c r="M17" s="14">
        <v>94.144966408886958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259.26362817230472</v>
      </c>
      <c r="F18" s="63">
        <f>(85/0.4+110/0.4+132/0.5)/3</f>
        <v>250.5</v>
      </c>
      <c r="G18" s="63">
        <f>(72.99/0.3+79.99/0.3+99.99/0.5+119.99/0.5+149.99/0.5)/5</f>
        <v>249.97466666666668</v>
      </c>
      <c r="H18" s="63">
        <f>(135/0.47+160/0.5)/2</f>
        <v>303.61702127659578</v>
      </c>
      <c r="I18" s="51"/>
      <c r="J18" s="63">
        <f>(114.99/0.5+119.99/0.5+139.99/0.5+71.99/0.3+81.99/0.3)/5</f>
        <v>252.64133333333334</v>
      </c>
      <c r="K18" s="63">
        <f>(99.99/0.4+109.99/0.5+122.99/0.47)/3</f>
        <v>243.87861702127657</v>
      </c>
      <c r="L18" s="52">
        <f t="shared" si="1"/>
        <v>1.0632226333409562</v>
      </c>
      <c r="M18" s="53">
        <v>256.53607852276537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396.31046408193316</v>
      </c>
      <c r="F19" s="63">
        <f>(205/0.5+152/0.4+165/0.4)/3</f>
        <v>400.83333333333331</v>
      </c>
      <c r="G19" s="63">
        <f>(93.99/0.3+99.99/0.3+139.99/0.38+109.99/0.3)/4</f>
        <v>345.40701754385964</v>
      </c>
      <c r="H19" s="63">
        <f>(215/0.5+200/0.5)/2</f>
        <v>415</v>
      </c>
      <c r="I19" s="51"/>
      <c r="J19" s="63">
        <f>(99.99/0.25+139.99/0.33+144.99/0.38+179.99/0.38)/4</f>
        <v>419.84566188197766</v>
      </c>
      <c r="K19" s="63">
        <f>(129.99/0.3+119.99/0.3+149.99/0.33+99.99/0.3)/4</f>
        <v>405.27045454545453</v>
      </c>
      <c r="L19" s="52">
        <f t="shared" si="1"/>
        <v>0.61354297899502797</v>
      </c>
      <c r="M19" s="53">
        <v>393.89375659365305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118.22336987191068</v>
      </c>
      <c r="F20" s="62">
        <v>140</v>
      </c>
      <c r="G20" s="62">
        <f>(75.99+109.99+99.99+129.99)/4</f>
        <v>103.99</v>
      </c>
      <c r="H20" s="62">
        <v>145</v>
      </c>
      <c r="I20" s="65"/>
      <c r="J20" s="66">
        <f>(94.99+109.99+119.99)/3</f>
        <v>108.32333333333332</v>
      </c>
      <c r="K20" s="66">
        <f>(94.99+99+109)/3</f>
        <v>100.99666666666667</v>
      </c>
      <c r="L20" s="52">
        <f t="shared" si="1"/>
        <v>3.0037059382150915</v>
      </c>
      <c r="M20" s="53">
        <v>114.77584111665345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77.68578207246513</v>
      </c>
      <c r="F21" s="62">
        <v>90</v>
      </c>
      <c r="G21" s="62">
        <f>(359.99/5+69.99)/2</f>
        <v>70.994</v>
      </c>
      <c r="H21" s="62">
        <v>90</v>
      </c>
      <c r="I21" s="65"/>
      <c r="J21" s="66">
        <f>(69.99+347.99/5)/2</f>
        <v>69.793999999999997</v>
      </c>
      <c r="K21" s="66">
        <f>(69+359.99/5)/2</f>
        <v>70.498999999999995</v>
      </c>
      <c r="L21" s="52">
        <f t="shared" si="1"/>
        <v>0</v>
      </c>
      <c r="M21" s="53">
        <v>77.68578207246513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62">
        <f>140/0.1</f>
        <v>1400</v>
      </c>
      <c r="G22" s="62">
        <f>(24.89/0.1+139.99/0.25+169.99/0.1+119.99/0.1)/4</f>
        <v>927.16499999999996</v>
      </c>
      <c r="H22" s="62">
        <f>250/0.2</f>
        <v>1250</v>
      </c>
      <c r="I22" s="65"/>
      <c r="J22" s="66">
        <f>(29.99/0.11+149.99/0.25)/2</f>
        <v>436.29818181818183</v>
      </c>
      <c r="K22" s="66">
        <f>(89.99/0.1+169.99/0.25+269.99/0.2)/3</f>
        <v>976.60333333333335</v>
      </c>
      <c r="L22" s="52">
        <f t="shared" si="1"/>
        <v>0</v>
      </c>
      <c r="M22" s="53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2">
        <v>35</v>
      </c>
      <c r="G23" s="62">
        <v>18.989999999999998</v>
      </c>
      <c r="H23" s="62">
        <v>25</v>
      </c>
      <c r="I23" s="65"/>
      <c r="J23" s="66">
        <f>(13.99+22.99)/2</f>
        <v>18.489999999999998</v>
      </c>
      <c r="K23" s="66">
        <f>18.99</f>
        <v>18.989999999999998</v>
      </c>
      <c r="L23" s="52">
        <f t="shared" si="1"/>
        <v>-3.580749599737274</v>
      </c>
      <c r="M23" s="53">
        <v>23.390269619106345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52.280143119009992</v>
      </c>
      <c r="F24" s="62">
        <f>(110/2+140/2)/2</f>
        <v>62.5</v>
      </c>
      <c r="G24" s="62">
        <f>(59.99/2+107.99/2+129.99/2+99/2)/4</f>
        <v>49.621250000000003</v>
      </c>
      <c r="H24" s="62">
        <f>(110+130)/4</f>
        <v>60</v>
      </c>
      <c r="I24" s="65"/>
      <c r="J24" s="66">
        <f>(59.99/2+99.99/2+119.9/2)/3</f>
        <v>46.646666666666668</v>
      </c>
      <c r="K24" s="66">
        <f>(69.99/2+109.99/2)/2</f>
        <v>44.994999999999997</v>
      </c>
      <c r="L24" s="52">
        <f t="shared" si="1"/>
        <v>0</v>
      </c>
      <c r="M24" s="53">
        <v>52.280143119009992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91.169846889752108</v>
      </c>
      <c r="F25" s="62">
        <v>90</v>
      </c>
      <c r="G25" s="62">
        <f>(46.99/0.5+49.99/0.5+54.99/0.55)/3</f>
        <v>97.980606060606064</v>
      </c>
      <c r="H25" s="62">
        <f>45/0.5</f>
        <v>90</v>
      </c>
      <c r="I25" s="65"/>
      <c r="J25" s="66">
        <f>(39.99/0.5+43.99/0.5+57.99/0.6)/3</f>
        <v>88.203333333333333</v>
      </c>
      <c r="K25" s="62">
        <f>44.99/0.5</f>
        <v>89.98</v>
      </c>
      <c r="L25" s="52">
        <f t="shared" si="1"/>
        <v>0</v>
      </c>
      <c r="M25" s="53">
        <v>91.169846889752108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91.048038740847318</v>
      </c>
      <c r="F26" s="62">
        <v>90</v>
      </c>
      <c r="G26" s="62">
        <f>(45.99/0.53+62.99/0.6)/2</f>
        <v>95.878459119496853</v>
      </c>
      <c r="H26" s="62">
        <f>45/0.5</f>
        <v>90</v>
      </c>
      <c r="I26" s="65"/>
      <c r="J26" s="66">
        <f>(39.99/0.5+45.99/0.5+57.99/0.6)/3</f>
        <v>89.536666666666676</v>
      </c>
      <c r="K26" s="62">
        <f>44.99/0.5</f>
        <v>89.98</v>
      </c>
      <c r="L26" s="52">
        <f t="shared" si="1"/>
        <v>0.33239351062826472</v>
      </c>
      <c r="M26" s="53">
        <v>90.746403584204884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78"/>
      <c r="J27" s="63">
        <f>(39.99/0.8+64.99+99.99/0.9)/3</f>
        <v>75.359166666666667</v>
      </c>
      <c r="K27" s="63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129.77722011613511</v>
      </c>
      <c r="F28" s="62">
        <f>(200/1.5+140/0.9)/2</f>
        <v>144.44444444444446</v>
      </c>
      <c r="G28" s="62">
        <f>(92.99/0.8+89.99/0.8+119.99/0.8)/3</f>
        <v>126.2375</v>
      </c>
      <c r="H28" s="62">
        <f>(150/0.9+220/1.5)/2</f>
        <v>156.66666666666666</v>
      </c>
      <c r="I28" s="65"/>
      <c r="J28" s="66">
        <f>(79.99/0.8+92.99/0.9)/2</f>
        <v>101.6548611111111</v>
      </c>
      <c r="K28" s="66">
        <f>(84.9/0.8+115.9/0.8+109.9/0.85)/3</f>
        <v>126.76470588235294</v>
      </c>
      <c r="L28" s="52">
        <f t="shared" si="1"/>
        <v>0</v>
      </c>
      <c r="M28" s="53">
        <v>129.77722011613511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77.702478914298013</v>
      </c>
      <c r="F29" s="64">
        <f>90/0.9</f>
        <v>100</v>
      </c>
      <c r="G29" s="64">
        <f>43.8/0.8</f>
        <v>54.749999999999993</v>
      </c>
      <c r="H29" s="64">
        <f>100/0.8</f>
        <v>125</v>
      </c>
      <c r="I29" s="65"/>
      <c r="J29" s="66">
        <f>43.99/0.75</f>
        <v>58.653333333333336</v>
      </c>
      <c r="K29" s="66">
        <f>59.98/0.85</f>
        <v>70.564705882352939</v>
      </c>
      <c r="L29" s="52">
        <f t="shared" si="1"/>
        <v>0</v>
      </c>
      <c r="M29" s="54">
        <v>77.702478914298013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3">
        <f>80/0.8</f>
        <v>100</v>
      </c>
      <c r="G30" s="63">
        <f>(43.99/0.8+69.99/0.7)/2</f>
        <v>77.486607142857139</v>
      </c>
      <c r="H30" s="63">
        <f>100/0.9</f>
        <v>111.11111111111111</v>
      </c>
      <c r="I30" s="78"/>
      <c r="J30" s="63">
        <f>39.99/0.8</f>
        <v>49.987499999999997</v>
      </c>
      <c r="K30" s="63">
        <f>(59.99/0.8+39.99/0.7)/2</f>
        <v>66.058035714285722</v>
      </c>
      <c r="L30" s="52">
        <f t="shared" si="1"/>
        <v>0</v>
      </c>
      <c r="M30" s="54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101.11243085769908</v>
      </c>
      <c r="F31" s="64">
        <f>120/0.9</f>
        <v>133.33333333333334</v>
      </c>
      <c r="G31" s="64">
        <f>(33.99/0.8+79.99/0.8+119.99/0.8)/3</f>
        <v>97.487499999999997</v>
      </c>
      <c r="H31" s="64">
        <f>80/0.8</f>
        <v>100</v>
      </c>
      <c r="I31" s="65"/>
      <c r="J31" s="66">
        <f>(64.99/0.8+86.99/0.9+84.99/0.9)/3</f>
        <v>90.775462962962948</v>
      </c>
      <c r="K31" s="64">
        <f>(34.99/0.8+79.99/0.8+99.99/0.8)/3</f>
        <v>89.570833333333326</v>
      </c>
      <c r="L31" s="52">
        <f t="shared" si="1"/>
        <v>-2.5070594278160598</v>
      </c>
      <c r="M31" s="54">
        <v>103.71256653484082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68"/>
      <c r="G32" s="63">
        <f>(20/0.4+69.99/0.8+39.99/0.8)/3</f>
        <v>62.491666666666653</v>
      </c>
      <c r="H32" s="63">
        <f>80/0.8</f>
        <v>100</v>
      </c>
      <c r="I32" s="51"/>
      <c r="J32" s="63">
        <f>(14.99/0.4+59.99/0.9)/2</f>
        <v>52.06527777777778</v>
      </c>
      <c r="K32" s="63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92.47889664978436</v>
      </c>
      <c r="F34" s="64">
        <f>90</f>
        <v>90</v>
      </c>
      <c r="G34" s="64">
        <f>(52.99/0.45+20.99/0.45+34.99/0.45)/3</f>
        <v>80.718518518518522</v>
      </c>
      <c r="H34" s="64">
        <f>75/0.45</f>
        <v>166.66666666666666</v>
      </c>
      <c r="I34" s="65"/>
      <c r="J34" s="66">
        <f>(19.99/0.4+49.99/0.4)/2</f>
        <v>87.474999999999994</v>
      </c>
      <c r="K34" s="66">
        <f>(19.99/0.4+34.99/0.45)/2</f>
        <v>63.865277777777777</v>
      </c>
      <c r="L34" s="52">
        <f t="shared" si="1"/>
        <v>-0.42018293481564228</v>
      </c>
      <c r="M34" s="54">
        <v>92.869116830419784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90.553933533808191</v>
      </c>
      <c r="F35" s="63">
        <f>80/0.4</f>
        <v>200</v>
      </c>
      <c r="G35" s="63">
        <f>22.99/0.4</f>
        <v>57.474999999999994</v>
      </c>
      <c r="H35" s="63">
        <f>70/0.8</f>
        <v>87.5</v>
      </c>
      <c r="I35" s="78"/>
      <c r="J35" s="63">
        <f>(19.99/0.4+31.49/0.4)/2</f>
        <v>64.349999999999994</v>
      </c>
      <c r="K35" s="63">
        <f>(34.99/0.4+39.99/0.45+19.99/0.45+69.99/0.45)/4</f>
        <v>94.074305555555554</v>
      </c>
      <c r="L35" s="52">
        <f t="shared" si="1"/>
        <v>0</v>
      </c>
      <c r="M35" s="54">
        <v>90.553933533808191</v>
      </c>
      <c r="N35" s="70"/>
      <c r="O35" s="71"/>
      <c r="P35" s="71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49.222206043082942</v>
      </c>
      <c r="F36" s="64">
        <v>45</v>
      </c>
      <c r="G36" s="64">
        <v>48.39</v>
      </c>
      <c r="H36" s="64">
        <v>45</v>
      </c>
      <c r="I36" s="65"/>
      <c r="J36" s="66">
        <f>(65.49+52.48)/2</f>
        <v>58.984999999999999</v>
      </c>
      <c r="K36" s="66">
        <v>49.99</v>
      </c>
      <c r="L36" s="52">
        <f t="shared" si="1"/>
        <v>1.9750195317425749</v>
      </c>
      <c r="M36" s="54">
        <v>48.268886114565696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45.888398998670723</v>
      </c>
      <c r="F37" s="64">
        <v>60</v>
      </c>
      <c r="G37" s="64">
        <v>42.99</v>
      </c>
      <c r="H37" s="64">
        <v>50</v>
      </c>
      <c r="I37" s="65"/>
      <c r="J37" s="66">
        <f>(33.99+42.99)/2</f>
        <v>38.49</v>
      </c>
      <c r="K37" s="66">
        <f>(36.99+44.99)/2</f>
        <v>40.99</v>
      </c>
      <c r="L37" s="52">
        <f t="shared" si="1"/>
        <v>2.2670960835886831</v>
      </c>
      <c r="M37" s="54">
        <v>44.871127426130826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48.811687716301989</v>
      </c>
      <c r="F38" s="64">
        <f>(40+60)/2</f>
        <v>50</v>
      </c>
      <c r="G38" s="64">
        <v>49.99</v>
      </c>
      <c r="H38" s="64">
        <v>45</v>
      </c>
      <c r="I38" s="65"/>
      <c r="J38" s="66">
        <v>52.99</v>
      </c>
      <c r="K38" s="66">
        <f>(42.99+49.99)/2</f>
        <v>46.49</v>
      </c>
      <c r="L38" s="52">
        <f t="shared" si="1"/>
        <v>2.4324817263963894</v>
      </c>
      <c r="M38" s="54">
        <v>47.652548189431833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48.817086481054382</v>
      </c>
      <c r="F39" s="64">
        <v>60</v>
      </c>
      <c r="G39" s="64">
        <v>33.99</v>
      </c>
      <c r="H39" s="64">
        <v>50</v>
      </c>
      <c r="I39" s="65"/>
      <c r="J39" s="66">
        <v>33.99</v>
      </c>
      <c r="K39" s="66">
        <v>79.989999999999995</v>
      </c>
      <c r="L39" s="52">
        <f>(E39/M39)*100-100</f>
        <v>2.4553803236998135</v>
      </c>
      <c r="M39" s="54">
        <v>47.64716731012134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158.04787802769332</v>
      </c>
      <c r="F40" s="67">
        <v>200</v>
      </c>
      <c r="G40" s="67">
        <f>(99.99+139.99+144.99)/3</f>
        <v>128.32333333333335</v>
      </c>
      <c r="H40" s="67">
        <v>200</v>
      </c>
      <c r="I40" s="79"/>
      <c r="J40" s="80">
        <f>(89.99+112.99+149.99+195.99)/4</f>
        <v>137.24</v>
      </c>
      <c r="K40" s="80">
        <f>(129.99+139.99+149.99)/3</f>
        <v>139.99</v>
      </c>
      <c r="L40" s="55">
        <f>(E40/M40)*100-100</f>
        <v>0.89807894363489993</v>
      </c>
      <c r="M40" s="56">
        <v>156.64111713760599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2024-12-13T04:49:25Z</cp:lastPrinted>
  <dcterms:created xsi:type="dcterms:W3CDTF">2007-04-16T07:34:00Z</dcterms:created>
  <dcterms:modified xsi:type="dcterms:W3CDTF">2024-12-16T12:33:23Z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