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общий!$A$1:$K$40</definedName>
  </definedNames>
  <calcPr calcId="152511"/>
</workbook>
</file>

<file path=xl/calcChain.xml><?xml version="1.0" encoding="utf-8"?>
<calcChain xmlns="http://schemas.openxmlformats.org/spreadsheetml/2006/main">
  <c r="K37" i="1" l="1"/>
  <c r="J26" i="1"/>
  <c r="J25" i="1"/>
  <c r="K20" i="1"/>
  <c r="K19" i="1"/>
  <c r="K18" i="1"/>
  <c r="K13" i="1"/>
  <c r="J34" i="1"/>
  <c r="J31" i="1"/>
  <c r="J28" i="1"/>
  <c r="J27" i="1"/>
  <c r="J22" i="1"/>
  <c r="J20" i="1"/>
  <c r="J19" i="1"/>
  <c r="J18" i="1"/>
  <c r="J17" i="1"/>
  <c r="J16" i="1"/>
  <c r="J15" i="1"/>
  <c r="J14" i="1"/>
  <c r="J13" i="1"/>
  <c r="G26" i="1"/>
  <c r="G25" i="1"/>
  <c r="G40" i="1"/>
  <c r="G34" i="1"/>
  <c r="G22" i="1"/>
  <c r="K17" i="1" l="1"/>
  <c r="K16" i="1"/>
  <c r="K15" i="1"/>
  <c r="K11" i="1"/>
  <c r="J40" i="1"/>
  <c r="J11" i="1"/>
  <c r="H34" i="1"/>
  <c r="H31" i="1"/>
  <c r="H19" i="1"/>
  <c r="H17" i="1"/>
  <c r="H18" i="1"/>
  <c r="G20" i="1"/>
  <c r="G16" i="1"/>
  <c r="G15" i="1"/>
  <c r="G14" i="1"/>
  <c r="F17" i="1"/>
  <c r="J35" i="1" l="1"/>
  <c r="G35" i="1"/>
  <c r="G29" i="1"/>
  <c r="G24" i="1"/>
  <c r="G13" i="1"/>
  <c r="K38" i="1" l="1"/>
  <c r="K26" i="1"/>
  <c r="K25" i="1"/>
  <c r="H13" i="1"/>
  <c r="G19" i="1"/>
  <c r="G18" i="1"/>
  <c r="K40" i="1" l="1"/>
  <c r="K30" i="1"/>
  <c r="K29" i="1"/>
  <c r="K28" i="1"/>
  <c r="K21" i="1" l="1"/>
  <c r="K14" i="1"/>
  <c r="J29" i="1" l="1"/>
  <c r="H15" i="1"/>
  <c r="G17" i="1"/>
  <c r="K24" i="1" l="1"/>
  <c r="G11" i="1" l="1"/>
  <c r="K31" i="1" l="1"/>
  <c r="G32" i="1" l="1"/>
  <c r="G31" i="1"/>
  <c r="G28" i="1"/>
  <c r="F13" i="1" l="1"/>
  <c r="F19" i="1"/>
  <c r="F15" i="1"/>
  <c r="G21" i="1" l="1"/>
  <c r="J24" i="1" l="1"/>
  <c r="H26" i="1"/>
  <c r="H25" i="1"/>
  <c r="J21" i="1" l="1"/>
  <c r="G30" i="1" l="1"/>
  <c r="G33" i="1"/>
  <c r="J23" i="1"/>
  <c r="E21" i="1" l="1"/>
  <c r="F38" i="1" l="1"/>
  <c r="K33" i="1"/>
  <c r="K12" i="1" l="1"/>
  <c r="K34" i="1"/>
  <c r="K27" i="1"/>
  <c r="E8" i="1" l="1"/>
  <c r="H11" i="1" l="1"/>
  <c r="G27" i="1" l="1"/>
  <c r="H16" i="1" l="1"/>
  <c r="F18" i="1" l="1"/>
  <c r="F24" i="1" l="1"/>
  <c r="H32" i="1" l="1"/>
  <c r="H28" i="1"/>
  <c r="J33" i="1" l="1"/>
  <c r="J30" i="1"/>
  <c r="H24" i="1"/>
  <c r="J32" i="1" l="1"/>
  <c r="H30" i="1" l="1"/>
  <c r="E38" i="1" l="1"/>
  <c r="E11" i="1" l="1"/>
  <c r="E9" i="1"/>
  <c r="E40" i="1" l="1"/>
  <c r="E10" i="1"/>
  <c r="E36" i="1"/>
  <c r="E37" i="1"/>
  <c r="E39" i="1"/>
  <c r="E20" i="1" l="1"/>
  <c r="K23" i="1" l="1"/>
  <c r="E23" i="1" s="1"/>
  <c r="K22" i="1" l="1"/>
  <c r="H29" i="1"/>
  <c r="H33" i="1" l="1"/>
  <c r="K32" i="1"/>
  <c r="K35" i="1"/>
  <c r="E32" i="1" l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E19" i="1"/>
  <c r="E33" i="1" l="1"/>
  <c r="E17" i="1"/>
  <c r="E18" i="1"/>
  <c r="F34" i="1" l="1"/>
  <c r="E34" i="1" s="1"/>
  <c r="F31" i="1"/>
  <c r="F29" i="1"/>
  <c r="E29" i="1" s="1"/>
  <c r="F28" i="1"/>
  <c r="E28" i="1" s="1"/>
  <c r="H22" i="1"/>
  <c r="F22" i="1"/>
  <c r="E16" i="1"/>
  <c r="E15" i="1"/>
  <c r="H14" i="1"/>
  <c r="E14" i="1" s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<sst xmlns="http://schemas.openxmlformats.org/spreadsheetml/2006/main" count="79" uniqueCount="51">
  <si>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</si>
  <si>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</si>
  <si>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</si>
  <si>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</si>
  <si>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</si>
  <si>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</si>
  <si>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</si>
  <si>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</si>
  <si>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</si>
  <si>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</si>
  <si>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</si>
  <si>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</si>
  <si>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</si>
  <si>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</si>
  <si>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</si>
  <si>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</si>
  <si>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</si>
  <si>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</si>
  <si>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</si>
  <si>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</si>
  <si>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</si>
  <si>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</si>
  <si>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</si>
  <si>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</si>
  <si>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</si>
  <si>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</si>
  <si>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</si>
  <si>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</si>
  <si>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</si>
  <si>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</si>
  <si>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</si>
  <si>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</si>
  <si>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</si>
  <si>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</si>
  <si>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</si>
  <si>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</si>
  <si>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</si>
  <si>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</si>
  <si>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</si>
  <si>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</si>
  <si>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</si>
  <si>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</si>
  <si>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</si>
  <si>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</si>
  <si>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</si>
  <si>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</si>
  <si>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</si>
  <si>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</si>
  <si>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</si>
  <si>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декабрь 2024 г</t>
  </si>
  <si>
    <t>Информация об изменении цен на социально-значимые товары, 
реализуемые на территории г. Пыть-Ях
по состоянию на 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</si>
</sst>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>
      <alignment vertical="center" wrapText="1"/>
    </xf>
    <xf numFmtId="0" fontId="5" fillId="0" borderId="0" xfId="0" applyNumberFormat="1" applyFont="1" applyFill="1"/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4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15" xfId="0" applyFont="1" applyFill="1" applyBorder="1"/>
    <xf numFmtId="0" fontId="5" fillId="3" borderId="0" xfId="0" applyFont="1" applyFill="1"/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5" fillId="3" borderId="0" xfId="0" applyFont="1" applyFill="1" applyBorder="1"/>
    <xf numFmtId="4" fontId="11" fillId="2" borderId="19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left" vertical="center"/>
    </xf>
    <xf numFmtId="164" fontId="11" fillId="2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9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 applyProtection="1">
      <alignment horizontal="center" vertical="center"/>
    </xf>
    <xf numFmtId="4" fontId="3" fillId="2" borderId="19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H17" sqref="H17"/>
    </sheetView>
  </sheetViews>
  <sheetFormatPr defaultColWidth="8.85546875" defaultRowHeight="12.75" x14ac:dyDescent="0.2"/>
  <cols>
    <col min="1" max="2" width="8.85546875" style="18" hidden="1" customWidth="1"/>
    <col min="3" max="3" width="41.28515625" style="18" customWidth="1"/>
    <col min="4" max="4" width="8.85546875" style="18"/>
    <col min="5" max="5" width="10.42578125" style="18" customWidth="1"/>
    <col min="6" max="6" width="16" style="1" customWidth="1"/>
    <col min="7" max="7" width="16.28515625" style="47" customWidth="1"/>
    <col min="8" max="8" width="17" style="45" customWidth="1"/>
    <col min="9" max="9" width="13.42578125" style="45" customWidth="1"/>
    <col min="10" max="10" width="17.140625" style="45" customWidth="1"/>
    <col min="11" max="11" width="15.85546875" style="45" customWidth="1"/>
    <col min="12" max="12" width="9.7109375" style="18" bestFit="1" customWidth="1"/>
    <col min="13" max="16384" width="8.85546875" style="18"/>
  </cols>
  <sheetData>
    <row r="1" spans="1:13" ht="47.25" customHeight="1" x14ac:dyDescent="0.2">
      <c r="B1" s="71" t="s">
        <v>50</v>
      </c>
      <c r="C1" s="71"/>
      <c r="D1" s="71"/>
      <c r="E1" s="71"/>
      <c r="F1" s="71"/>
      <c r="G1" s="71"/>
      <c r="H1" s="71"/>
      <c r="I1" s="71"/>
      <c r="J1" s="71"/>
      <c r="K1" s="71"/>
    </row>
    <row r="2" spans="1:13" ht="12.75" customHeight="1" x14ac:dyDescent="0.2"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19.5" thickBot="1" x14ac:dyDescent="0.25">
      <c r="B3" s="19"/>
      <c r="C3" s="20"/>
      <c r="D3" s="20"/>
      <c r="E3" s="20"/>
      <c r="F3" s="21"/>
      <c r="G3" s="22"/>
      <c r="H3" s="23"/>
      <c r="I3" s="23"/>
      <c r="J3" s="23"/>
      <c r="K3" s="23"/>
    </row>
    <row r="4" spans="1:13" ht="82.5" customHeight="1" x14ac:dyDescent="0.2">
      <c r="A4" s="24"/>
      <c r="B4" s="25"/>
      <c r="C4" s="26" t="s">
        <v>49</v>
      </c>
      <c r="D4" s="27"/>
      <c r="E4" s="27"/>
      <c r="F4" s="68" t="s">
        <v>38</v>
      </c>
      <c r="G4" s="68" t="s">
        <v>39</v>
      </c>
      <c r="H4" s="68" t="s">
        <v>40</v>
      </c>
      <c r="I4" s="68" t="s">
        <v>41</v>
      </c>
      <c r="J4" s="68" t="s">
        <v>42</v>
      </c>
      <c r="K4" s="68" t="s">
        <v>43</v>
      </c>
    </row>
    <row r="5" spans="1:13" ht="18.75" x14ac:dyDescent="0.2">
      <c r="A5" s="24"/>
      <c r="B5" s="28"/>
      <c r="C5" s="29"/>
      <c r="D5" s="30" t="s">
        <v>0</v>
      </c>
      <c r="E5" s="31"/>
      <c r="F5" s="69"/>
      <c r="G5" s="69"/>
      <c r="H5" s="69"/>
      <c r="I5" s="69"/>
      <c r="J5" s="69"/>
      <c r="K5" s="69"/>
    </row>
    <row r="6" spans="1:13" ht="18.75" x14ac:dyDescent="0.2">
      <c r="A6" s="24"/>
      <c r="B6" s="28"/>
      <c r="C6" s="32" t="s">
        <v>48</v>
      </c>
      <c r="D6" s="33"/>
      <c r="E6" s="34"/>
      <c r="F6" s="69"/>
      <c r="G6" s="69"/>
      <c r="H6" s="69"/>
      <c r="I6" s="69"/>
      <c r="J6" s="69"/>
      <c r="K6" s="69"/>
    </row>
    <row r="7" spans="1:13" ht="38.25" x14ac:dyDescent="0.2">
      <c r="A7" s="24"/>
      <c r="B7" s="28"/>
      <c r="C7" s="35" t="s">
        <v>1</v>
      </c>
      <c r="D7" s="36" t="s">
        <v>2</v>
      </c>
      <c r="E7" s="37" t="s">
        <v>3</v>
      </c>
      <c r="F7" s="70"/>
      <c r="G7" s="70"/>
      <c r="H7" s="70"/>
      <c r="I7" s="70"/>
      <c r="J7" s="70"/>
      <c r="K7" s="70"/>
    </row>
    <row r="8" spans="1:13" s="1" customFormat="1" ht="30" customHeight="1" x14ac:dyDescent="0.25">
      <c r="B8" s="4"/>
      <c r="C8" s="10" t="s">
        <v>44</v>
      </c>
      <c r="D8" s="11" t="s">
        <v>4</v>
      </c>
      <c r="E8" s="12">
        <f>IF(SUM(F8:K8)=0,0,SUM(GEOMEAN(F8:K8)))</f>
        <v>325.88341473600644</v>
      </c>
      <c r="F8" s="51"/>
      <c r="G8" s="51"/>
      <c r="H8" s="52"/>
      <c r="I8" s="53">
        <v>295</v>
      </c>
      <c r="J8" s="54">
        <v>360</v>
      </c>
      <c r="K8" s="54"/>
      <c r="L8" s="2"/>
    </row>
    <row r="9" spans="1:13" s="1" customFormat="1" ht="30" customHeight="1" x14ac:dyDescent="0.25">
      <c r="B9" s="4"/>
      <c r="C9" s="10" t="s">
        <v>45</v>
      </c>
      <c r="D9" s="11" t="s">
        <v>4</v>
      </c>
      <c r="E9" s="12">
        <f t="shared" ref="E9:E40" si="0">IF(SUM(F9:K9)=0,0,SUM(GEOMEAN(F9:K9)))</f>
        <v>520</v>
      </c>
      <c r="F9" s="55"/>
      <c r="G9" s="55"/>
      <c r="H9" s="62"/>
      <c r="I9" s="58">
        <v>520</v>
      </c>
      <c r="J9" s="59"/>
      <c r="K9" s="59"/>
      <c r="L9" s="2"/>
    </row>
    <row r="10" spans="1:13" s="1" customFormat="1" ht="30" customHeight="1" x14ac:dyDescent="0.25">
      <c r="B10" s="4"/>
      <c r="C10" s="10" t="s">
        <v>46</v>
      </c>
      <c r="D10" s="11" t="s">
        <v>4</v>
      </c>
      <c r="E10" s="12">
        <f t="shared" si="0"/>
        <v>750</v>
      </c>
      <c r="F10" s="55"/>
      <c r="G10" s="55"/>
      <c r="H10" s="62"/>
      <c r="I10" s="58">
        <v>750</v>
      </c>
      <c r="J10" s="59"/>
      <c r="K10" s="59"/>
      <c r="L10" s="2"/>
    </row>
    <row r="11" spans="1:13" s="1" customFormat="1" ht="30" customHeight="1" x14ac:dyDescent="0.25">
      <c r="B11" s="4"/>
      <c r="C11" s="8" t="s">
        <v>47</v>
      </c>
      <c r="D11" s="11" t="s">
        <v>4</v>
      </c>
      <c r="E11" s="12">
        <f>IF(SUM(F11:K11)=0,0,SUM(GEOMEAN(F11:K11)))</f>
        <v>265.06744285891477</v>
      </c>
      <c r="F11" s="55">
        <v>320</v>
      </c>
      <c r="G11" s="55">
        <f>(179.99+239.99)/2</f>
        <v>209.99</v>
      </c>
      <c r="H11" s="55">
        <f>(350+330+300)/3</f>
        <v>326.66666666666669</v>
      </c>
      <c r="I11" s="58">
        <v>350</v>
      </c>
      <c r="J11" s="59">
        <f>(199.99+229.99)/2</f>
        <v>214.99</v>
      </c>
      <c r="K11" s="59">
        <f>(219.99+199.99)/2</f>
        <v>209.99</v>
      </c>
      <c r="L11" s="2"/>
    </row>
    <row r="12" spans="1:13" s="1" customFormat="1" ht="30" customHeight="1" x14ac:dyDescent="0.25">
      <c r="B12" s="4"/>
      <c r="C12" s="8" t="s">
        <v>5</v>
      </c>
      <c r="D12" s="11" t="s">
        <v>4</v>
      </c>
      <c r="E12" s="12">
        <f t="shared" si="0"/>
        <v>207.95913447744601</v>
      </c>
      <c r="F12" s="55">
        <v>250</v>
      </c>
      <c r="G12" s="55">
        <v>179.99</v>
      </c>
      <c r="H12" s="55">
        <f>(220+250)/2</f>
        <v>235</v>
      </c>
      <c r="I12" s="58">
        <v>250</v>
      </c>
      <c r="J12" s="59">
        <v>169.99</v>
      </c>
      <c r="K12" s="59">
        <f>(169.99+189.99)/2</f>
        <v>179.99</v>
      </c>
      <c r="L12" s="2"/>
    </row>
    <row r="13" spans="1:13" s="1" customFormat="1" ht="30" customHeight="1" x14ac:dyDescent="0.25">
      <c r="B13" s="4"/>
      <c r="C13" s="8" t="s">
        <v>6</v>
      </c>
      <c r="D13" s="11" t="s">
        <v>4</v>
      </c>
      <c r="E13" s="12">
        <f t="shared" si="0"/>
        <v>962.31024699384125</v>
      </c>
      <c r="F13" s="55">
        <f>220/0.22</f>
        <v>1000</v>
      </c>
      <c r="G13" s="57">
        <f>(184.99/0.18+139.99/0.18+192.99/0.18+239.99/0.2)/4</f>
        <v>1019.3902777777778</v>
      </c>
      <c r="H13" s="55">
        <f>(430/0.5+190/0.18)/2</f>
        <v>957.77777777777783</v>
      </c>
      <c r="I13" s="58"/>
      <c r="J13" s="59">
        <f>(149.99/0.18+170.99/0.18+199/0.18+135.99/0.18)/4</f>
        <v>911.06944444444457</v>
      </c>
      <c r="K13" s="59">
        <f>(119.99/0.18+189.99/0.2+209.99/0.18)/3</f>
        <v>927.72407407407411</v>
      </c>
      <c r="L13" s="2"/>
      <c r="M13" s="6"/>
    </row>
    <row r="14" spans="1:13" s="1" customFormat="1" ht="30" customHeight="1" x14ac:dyDescent="0.25">
      <c r="B14" s="4"/>
      <c r="C14" s="8" t="s">
        <v>7</v>
      </c>
      <c r="D14" s="11" t="s">
        <v>8</v>
      </c>
      <c r="E14" s="12">
        <f t="shared" si="0"/>
        <v>130.63072240607949</v>
      </c>
      <c r="F14" s="55">
        <v>140</v>
      </c>
      <c r="G14" s="55">
        <f>(119.95+99.99/0.9+109.99+139.99)/4</f>
        <v>120.25750000000001</v>
      </c>
      <c r="H14" s="55">
        <f>(140+150/0.8)/2</f>
        <v>163.75</v>
      </c>
      <c r="I14" s="58"/>
      <c r="J14" s="59">
        <f>(99.99+119.99+124.99)/3</f>
        <v>114.99</v>
      </c>
      <c r="K14" s="55">
        <f>(109.99+119.99+129.99)/3</f>
        <v>119.99000000000001</v>
      </c>
      <c r="L14" s="7"/>
    </row>
    <row r="15" spans="1:13" s="1" customFormat="1" ht="30" customHeight="1" x14ac:dyDescent="0.25">
      <c r="B15" s="4"/>
      <c r="C15" s="8" t="s">
        <v>9</v>
      </c>
      <c r="D15" s="13" t="s">
        <v>8</v>
      </c>
      <c r="E15" s="12">
        <f t="shared" si="0"/>
        <v>92.889293415079763</v>
      </c>
      <c r="F15" s="55">
        <f>85/0.9</f>
        <v>94.444444444444443</v>
      </c>
      <c r="G15" s="55">
        <f>(74.99/0.9+75.99/0.9+83.99/0.9+93.5/0.9)/4</f>
        <v>91.241666666666646</v>
      </c>
      <c r="H15" s="55">
        <f>(85/0.9+95/0.9)/2</f>
        <v>100</v>
      </c>
      <c r="I15" s="58"/>
      <c r="J15" s="59">
        <f>(89.99/0.9+74.99/0.9+77.49/0.9)/3</f>
        <v>89.803703703703675</v>
      </c>
      <c r="K15" s="59">
        <f>(59.99/0.8+77.99/0.8+174.99/2+77.99/0.8)/4</f>
        <v>89.364374999999995</v>
      </c>
      <c r="L15" s="2"/>
    </row>
    <row r="16" spans="1:13" s="1" customFormat="1" ht="30" customHeight="1" x14ac:dyDescent="0.25">
      <c r="B16" s="4"/>
      <c r="C16" s="8" t="s">
        <v>10</v>
      </c>
      <c r="D16" s="14" t="s">
        <v>8</v>
      </c>
      <c r="E16" s="12">
        <f t="shared" si="0"/>
        <v>90.643307738075521</v>
      </c>
      <c r="F16" s="55">
        <v>90</v>
      </c>
      <c r="G16" s="55">
        <f>(59.99/0.9+83.99/0.9+99.99/0.9)/3</f>
        <v>90.359259259259261</v>
      </c>
      <c r="H16" s="55">
        <f>(75/0.9+115/0.95+100)/3</f>
        <v>101.46198830409357</v>
      </c>
      <c r="I16" s="58"/>
      <c r="J16" s="59">
        <f>(58.99/0.8+78.99/0.9+87.99)/3</f>
        <v>83.164722222222224</v>
      </c>
      <c r="K16" s="59">
        <f>(84.99/0.95+79.99/0.9)/2</f>
        <v>89.170467836257302</v>
      </c>
      <c r="L16" s="2"/>
    </row>
    <row r="17" spans="2:12" s="1" customFormat="1" ht="51.75" customHeight="1" x14ac:dyDescent="0.25">
      <c r="B17" s="4"/>
      <c r="C17" s="8" t="s">
        <v>28</v>
      </c>
      <c r="D17" s="11" t="s">
        <v>29</v>
      </c>
      <c r="E17" s="12">
        <f t="shared" si="0"/>
        <v>96.257412593750217</v>
      </c>
      <c r="F17" s="56">
        <f>95/0.9</f>
        <v>105.55555555555556</v>
      </c>
      <c r="G17" s="56">
        <f>(69.99/0.9+66.99/0.9+84.99/0.9+92.99/0.9)/4</f>
        <v>87.48888888888888</v>
      </c>
      <c r="H17" s="56">
        <f>92/0.9</f>
        <v>102.22222222222221</v>
      </c>
      <c r="I17" s="49"/>
      <c r="J17" s="56">
        <f>(79.99/0.8+82.99+38.99/0.4+42.99/0.4)/4</f>
        <v>96.981875000000002</v>
      </c>
      <c r="K17" s="56">
        <f>(77.99/0.95+54.99/0.5+42.99/0.5+82.99)/4</f>
        <v>90.261184210526324</v>
      </c>
      <c r="L17" s="7"/>
    </row>
    <row r="18" spans="2:12" s="1" customFormat="1" ht="30" customHeight="1" x14ac:dyDescent="0.25">
      <c r="B18" s="4"/>
      <c r="C18" s="8" t="s">
        <v>30</v>
      </c>
      <c r="D18" s="11" t="s">
        <v>31</v>
      </c>
      <c r="E18" s="12">
        <f t="shared" si="0"/>
        <v>263.42613188542555</v>
      </c>
      <c r="F18" s="56">
        <f>(85/0.4+110/0.4+132/0.5)/3</f>
        <v>250.5</v>
      </c>
      <c r="G18" s="56">
        <f>(72.99/0.3+79.99/0.3+99.99/0.5+119.99/0.5+149.99/0.5)/5</f>
        <v>249.97466666666668</v>
      </c>
      <c r="H18" s="56">
        <f>(135/0.47+160/0.5)/2</f>
        <v>303.61702127659578</v>
      </c>
      <c r="I18" s="49"/>
      <c r="J18" s="56">
        <f>(119.99/0.5+139.99/0.5+73.99/0.3+81.99/0.3)/4</f>
        <v>259.97333333333336</v>
      </c>
      <c r="K18" s="56">
        <f>(119.99/0.5+129.99/0.5+134.99/0.5)/3</f>
        <v>256.6466666666667</v>
      </c>
      <c r="L18" s="2"/>
    </row>
    <row r="19" spans="2:12" s="1" customFormat="1" ht="30" customHeight="1" x14ac:dyDescent="0.25">
      <c r="B19" s="4"/>
      <c r="C19" s="8" t="s">
        <v>32</v>
      </c>
      <c r="D19" s="11" t="s">
        <v>31</v>
      </c>
      <c r="E19" s="12">
        <f t="shared" si="0"/>
        <v>403.49492904341315</v>
      </c>
      <c r="F19" s="56">
        <f>(205/0.5+152/0.4+165/0.4)/3</f>
        <v>400.83333333333331</v>
      </c>
      <c r="G19" s="56">
        <f>(93.99/0.3+99.99/0.3+139.99/0.38+109.99/0.3)/4</f>
        <v>345.40701754385964</v>
      </c>
      <c r="H19" s="56">
        <f>(215/0.5+200/0.5)/2</f>
        <v>415</v>
      </c>
      <c r="I19" s="49"/>
      <c r="J19" s="56">
        <f>(98/0.2+139.99/0.33+144.99/0.38+179.99/0.38)/4</f>
        <v>442.35566188197765</v>
      </c>
      <c r="K19" s="56">
        <f>(132.99/0.3+121.99/0.3+149.99/0.3+99.99/0.3)/4</f>
        <v>420.8</v>
      </c>
      <c r="L19" s="2"/>
    </row>
    <row r="20" spans="2:12" s="1" customFormat="1" ht="30" customHeight="1" x14ac:dyDescent="0.25">
      <c r="B20" s="4"/>
      <c r="C20" s="8" t="s">
        <v>11</v>
      </c>
      <c r="D20" s="11" t="s">
        <v>12</v>
      </c>
      <c r="E20" s="38">
        <f t="shared" si="0"/>
        <v>126.41090399630127</v>
      </c>
      <c r="F20" s="55">
        <v>160</v>
      </c>
      <c r="G20" s="55">
        <f>(75.99+109.99+99.99+129.99)/4</f>
        <v>103.99</v>
      </c>
      <c r="H20" s="55">
        <v>165</v>
      </c>
      <c r="I20" s="58"/>
      <c r="J20" s="59">
        <f>(89.99+107.99+129.99+119.99)/4</f>
        <v>111.99000000000001</v>
      </c>
      <c r="K20" s="59">
        <f>(99.99+109.99)/2</f>
        <v>104.99</v>
      </c>
      <c r="L20" s="2"/>
    </row>
    <row r="21" spans="2:12" s="1" customFormat="1" ht="30" customHeight="1" x14ac:dyDescent="0.25">
      <c r="B21" s="4"/>
      <c r="C21" s="8" t="s">
        <v>13</v>
      </c>
      <c r="D21" s="11" t="s">
        <v>4</v>
      </c>
      <c r="E21" s="12">
        <f>IF(SUM(F21:K21)=0,0,SUM(GEOMEAN(F21:K21)))</f>
        <v>77.68578207246513</v>
      </c>
      <c r="F21" s="55">
        <v>90</v>
      </c>
      <c r="G21" s="55">
        <f>(359.99/5+69.99)/2</f>
        <v>70.994</v>
      </c>
      <c r="H21" s="55">
        <v>90</v>
      </c>
      <c r="I21" s="58"/>
      <c r="J21" s="59">
        <f>(69.99+347.99/5)/2</f>
        <v>69.793999999999997</v>
      </c>
      <c r="K21" s="59">
        <f>(69+359.99/5)/2</f>
        <v>70.498999999999995</v>
      </c>
      <c r="L21" s="2"/>
    </row>
    <row r="22" spans="2:12" s="1" customFormat="1" ht="30" customHeight="1" x14ac:dyDescent="0.25">
      <c r="B22" s="4"/>
      <c r="C22" s="8" t="s">
        <v>14</v>
      </c>
      <c r="D22" s="11" t="s">
        <v>4</v>
      </c>
      <c r="E22" s="12">
        <f t="shared" si="0"/>
        <v>955.13622402521696</v>
      </c>
      <c r="F22" s="55">
        <f>140/0.1</f>
        <v>1400</v>
      </c>
      <c r="G22" s="55">
        <f>(24.89/0.1+139.99/0.25+171/0.1+122.99/0.1)/4</f>
        <v>937.19</v>
      </c>
      <c r="H22" s="55">
        <f>250/0.2</f>
        <v>1250</v>
      </c>
      <c r="I22" s="58"/>
      <c r="J22" s="59">
        <f>(29.99/0.11+179.99/0.25)/2</f>
        <v>496.29818181818183</v>
      </c>
      <c r="K22" s="59">
        <f>(89.99/0.1+169.99/0.25+269.99/0.2)/3</f>
        <v>976.60333333333335</v>
      </c>
      <c r="L22" s="2"/>
    </row>
    <row r="23" spans="2:12" s="1" customFormat="1" ht="30" customHeight="1" x14ac:dyDescent="0.25">
      <c r="B23" s="4"/>
      <c r="C23" s="8" t="s">
        <v>15</v>
      </c>
      <c r="D23" s="11" t="s">
        <v>4</v>
      </c>
      <c r="E23" s="12">
        <f t="shared" si="0"/>
        <v>22.552722633342725</v>
      </c>
      <c r="F23" s="55">
        <v>35</v>
      </c>
      <c r="G23" s="55">
        <v>18.989999999999998</v>
      </c>
      <c r="H23" s="55">
        <v>25</v>
      </c>
      <c r="I23" s="58"/>
      <c r="J23" s="59">
        <f>(13.99+22.99)/2</f>
        <v>18.489999999999998</v>
      </c>
      <c r="K23" s="59">
        <f>18.99</f>
        <v>18.989999999999998</v>
      </c>
      <c r="L23" s="2"/>
    </row>
    <row r="24" spans="2:12" s="1" customFormat="1" ht="30" customHeight="1" x14ac:dyDescent="0.25">
      <c r="B24" s="4"/>
      <c r="C24" s="8" t="s">
        <v>16</v>
      </c>
      <c r="D24" s="11" t="s">
        <v>4</v>
      </c>
      <c r="E24" s="12">
        <f t="shared" si="0"/>
        <v>52.280143119009992</v>
      </c>
      <c r="F24" s="55">
        <f>(110/2+140/2)/2</f>
        <v>62.5</v>
      </c>
      <c r="G24" s="55">
        <f>(59.99/2+107.99/2+129.99/2+99/2)/4</f>
        <v>49.621250000000003</v>
      </c>
      <c r="H24" s="55">
        <f>(110+130)/4</f>
        <v>60</v>
      </c>
      <c r="I24" s="58"/>
      <c r="J24" s="59">
        <f>(59.99/2+99.99/2+119.9/2)/3</f>
        <v>46.646666666666668</v>
      </c>
      <c r="K24" s="59">
        <f>(69.99/2+109.99/2)/2</f>
        <v>44.994999999999997</v>
      </c>
      <c r="L24" s="2"/>
    </row>
    <row r="25" spans="2:12" s="1" customFormat="1" ht="36.75" customHeight="1" x14ac:dyDescent="0.25">
      <c r="B25" s="4"/>
      <c r="C25" s="8" t="s">
        <v>17</v>
      </c>
      <c r="D25" s="11" t="s">
        <v>4</v>
      </c>
      <c r="E25" s="12">
        <f t="shared" si="0"/>
        <v>92.194293317450004</v>
      </c>
      <c r="F25" s="55">
        <v>90</v>
      </c>
      <c r="G25" s="55">
        <f>(46.99/0.5+49.99/0.5+54.99/0.5)/3</f>
        <v>101.31333333333333</v>
      </c>
      <c r="H25" s="55">
        <f>45/0.5</f>
        <v>90</v>
      </c>
      <c r="I25" s="58"/>
      <c r="J25" s="59">
        <f>(42.99/0.5+43.99/0.5+57.99/0.6)/3</f>
        <v>90.203333333333333</v>
      </c>
      <c r="K25" s="55">
        <f>44.99/0.5</f>
        <v>89.98</v>
      </c>
      <c r="L25" s="2"/>
    </row>
    <row r="26" spans="2:12" s="1" customFormat="1" ht="39.75" customHeight="1" x14ac:dyDescent="0.25">
      <c r="B26" s="4"/>
      <c r="C26" s="8" t="s">
        <v>18</v>
      </c>
      <c r="D26" s="11" t="s">
        <v>4</v>
      </c>
      <c r="E26" s="12">
        <f t="shared" si="0"/>
        <v>91.94249783107098</v>
      </c>
      <c r="F26" s="55">
        <v>90</v>
      </c>
      <c r="G26" s="55">
        <f>(45.99/0.5+62.99/0.6)/2</f>
        <v>98.481666666666669</v>
      </c>
      <c r="H26" s="55">
        <f>45/0.5</f>
        <v>90</v>
      </c>
      <c r="I26" s="58"/>
      <c r="J26" s="59">
        <f>(42.99/0.5+45.99/0.5+57.99/0.6)/3</f>
        <v>91.536666666666676</v>
      </c>
      <c r="K26" s="55">
        <f>44.99/0.5</f>
        <v>89.98</v>
      </c>
      <c r="L26" s="2"/>
    </row>
    <row r="27" spans="2:12" s="1" customFormat="1" ht="30" customHeight="1" x14ac:dyDescent="0.25">
      <c r="B27" s="4"/>
      <c r="C27" s="8" t="s">
        <v>33</v>
      </c>
      <c r="D27" s="11" t="s">
        <v>4</v>
      </c>
      <c r="E27" s="12">
        <f>IF(SUM(F27:K27)=0,0,SUM(GEOMEAN(F27:K27)))</f>
        <v>96.339828028038895</v>
      </c>
      <c r="F27" s="56">
        <f>60/0.8</f>
        <v>75</v>
      </c>
      <c r="G27" s="56">
        <f>(37.99/0.8+102.99/0.8)/2</f>
        <v>88.112499999999983</v>
      </c>
      <c r="H27" s="56">
        <f>100/0.9</f>
        <v>111.11111111111111</v>
      </c>
      <c r="I27" s="63"/>
      <c r="J27" s="56">
        <f>(39.99/0.8+64.99+99.99/0.9)/3</f>
        <v>75.359166666666667</v>
      </c>
      <c r="K27" s="56">
        <f>(39.99/0.8+99.99/0.4)/2</f>
        <v>149.98124999999999</v>
      </c>
      <c r="L27" s="2"/>
    </row>
    <row r="28" spans="2:12" s="1" customFormat="1" ht="30" customHeight="1" x14ac:dyDescent="0.25">
      <c r="B28" s="4"/>
      <c r="C28" s="10" t="s">
        <v>19</v>
      </c>
      <c r="D28" s="11" t="s">
        <v>4</v>
      </c>
      <c r="E28" s="12">
        <f t="shared" si="0"/>
        <v>132.10379280121572</v>
      </c>
      <c r="F28" s="55">
        <f>(200/1.5+140/0.9)/2</f>
        <v>144.44444444444446</v>
      </c>
      <c r="G28" s="55">
        <f>(92.99/0.8+89.99/0.8+119.99/0.8)/3</f>
        <v>126.2375</v>
      </c>
      <c r="H28" s="55">
        <f>(150/0.9+220/1.5)/2</f>
        <v>156.66666666666666</v>
      </c>
      <c r="I28" s="58"/>
      <c r="J28" s="59">
        <f>(79.99/0.8+99.99/0.9+109.99/0.9)/3</f>
        <v>111.09953703703702</v>
      </c>
      <c r="K28" s="59">
        <f>(84.9/0.8+115.9/0.8+109.9/0.85)/3</f>
        <v>126.76470588235294</v>
      </c>
      <c r="L28" s="2"/>
    </row>
    <row r="29" spans="2:12" s="1" customFormat="1" ht="30" customHeight="1" x14ac:dyDescent="0.2">
      <c r="B29" s="4"/>
      <c r="C29" s="8" t="s">
        <v>20</v>
      </c>
      <c r="D29" s="11" t="s">
        <v>4</v>
      </c>
      <c r="E29" s="12">
        <f t="shared" si="0"/>
        <v>77.702478914298013</v>
      </c>
      <c r="F29" s="57">
        <f>90/0.9</f>
        <v>100</v>
      </c>
      <c r="G29" s="57">
        <f>43.8/0.8</f>
        <v>54.749999999999993</v>
      </c>
      <c r="H29" s="57">
        <f>100/0.8</f>
        <v>125</v>
      </c>
      <c r="I29" s="58"/>
      <c r="J29" s="59">
        <f>43.99/0.75</f>
        <v>58.653333333333336</v>
      </c>
      <c r="K29" s="59">
        <f>59.98/0.85</f>
        <v>70.564705882352939</v>
      </c>
      <c r="L29" s="3"/>
    </row>
    <row r="30" spans="2:12" s="1" customFormat="1" ht="30" customHeight="1" x14ac:dyDescent="0.2">
      <c r="B30" s="4"/>
      <c r="C30" s="8" t="s">
        <v>34</v>
      </c>
      <c r="D30" s="11" t="s">
        <v>4</v>
      </c>
      <c r="E30" s="12">
        <f>IF(SUM(F30:K30)=0,0,SUM(GEOMEAN(F30:K30)))</f>
        <v>77.759640066268261</v>
      </c>
      <c r="F30" s="56">
        <f>80/0.8</f>
        <v>100</v>
      </c>
      <c r="G30" s="56">
        <f>(43.99/0.8+69.99/0.7)/2</f>
        <v>77.486607142857139</v>
      </c>
      <c r="H30" s="56">
        <f>100/0.9</f>
        <v>111.11111111111111</v>
      </c>
      <c r="I30" s="63"/>
      <c r="J30" s="56">
        <f>39.99/0.8</f>
        <v>49.987499999999997</v>
      </c>
      <c r="K30" s="56">
        <f>(59.99/0.8+39.99/0.7)/2</f>
        <v>66.058035714285722</v>
      </c>
      <c r="L30" s="3"/>
    </row>
    <row r="31" spans="2:12" s="1" customFormat="1" ht="30" customHeight="1" x14ac:dyDescent="0.2">
      <c r="B31" s="4"/>
      <c r="C31" s="8" t="s">
        <v>21</v>
      </c>
      <c r="D31" s="11" t="s">
        <v>4</v>
      </c>
      <c r="E31" s="12">
        <f t="shared" si="0"/>
        <v>101.92437751236166</v>
      </c>
      <c r="F31" s="57">
        <f>120/0.9</f>
        <v>133.33333333333334</v>
      </c>
      <c r="G31" s="57">
        <f>(33.99/0.8+79.99/0.8+119.99/0.8)/3</f>
        <v>97.487499999999997</v>
      </c>
      <c r="H31" s="57">
        <f>80/0.8</f>
        <v>100</v>
      </c>
      <c r="I31" s="58"/>
      <c r="J31" s="59">
        <f>(64.99/0.8+86.99/0.9+94.99/0.9)/3</f>
        <v>94.479166666666643</v>
      </c>
      <c r="K31" s="57">
        <f>(34.99/0.8+79.99/0.8+99.99/0.8)/3</f>
        <v>89.570833333333326</v>
      </c>
      <c r="L31" s="3"/>
    </row>
    <row r="32" spans="2:12" s="1" customFormat="1" ht="30" customHeight="1" x14ac:dyDescent="0.2">
      <c r="B32" s="4"/>
      <c r="C32" s="8" t="s">
        <v>35</v>
      </c>
      <c r="D32" s="11" t="s">
        <v>4</v>
      </c>
      <c r="E32" s="12">
        <f>IF(SUM(F32:K32)=0,0,SUM(GEOMEAN(F32:K32)))</f>
        <v>69.281942559764204</v>
      </c>
      <c r="F32" s="61"/>
      <c r="G32" s="56">
        <f>(20/0.4+69.99/0.8+39.99/0.8)/3</f>
        <v>62.491666666666653</v>
      </c>
      <c r="H32" s="56">
        <f>80/0.8</f>
        <v>100</v>
      </c>
      <c r="I32" s="49"/>
      <c r="J32" s="56">
        <f>(14.99/0.4+59.99/0.9)/2</f>
        <v>52.06527777777778</v>
      </c>
      <c r="K32" s="56">
        <f>(29.99/0.4+34.99/0.4+39.99/0.8)/3</f>
        <v>70.8125</v>
      </c>
      <c r="L32" s="3"/>
    </row>
    <row r="33" spans="2:14" s="1" customFormat="1" ht="30" customHeight="1" x14ac:dyDescent="0.2">
      <c r="B33" s="4"/>
      <c r="C33" s="8" t="s">
        <v>36</v>
      </c>
      <c r="D33" s="11" t="s">
        <v>4</v>
      </c>
      <c r="E33" s="12">
        <f>IF(SUM(F33:K33)=0,0,SUM(GEOMEAN(F33:K33)))</f>
        <v>66.42964072906625</v>
      </c>
      <c r="F33" s="56">
        <f>85/0.6</f>
        <v>141.66666666666669</v>
      </c>
      <c r="G33" s="56">
        <f>30.99/0.8</f>
        <v>38.737499999999997</v>
      </c>
      <c r="H33" s="56">
        <f>80/0.65</f>
        <v>123.07692307692307</v>
      </c>
      <c r="I33" s="49"/>
      <c r="J33" s="56">
        <f>22.99/0.6</f>
        <v>38.316666666666663</v>
      </c>
      <c r="K33" s="56">
        <f>34.99/0.7</f>
        <v>49.985714285714295</v>
      </c>
      <c r="L33" s="3"/>
    </row>
    <row r="34" spans="2:14" s="1" customFormat="1" ht="30" customHeight="1" x14ac:dyDescent="0.2">
      <c r="B34" s="4"/>
      <c r="C34" s="8" t="s">
        <v>22</v>
      </c>
      <c r="D34" s="11" t="s">
        <v>4</v>
      </c>
      <c r="E34" s="12">
        <f t="shared" si="0"/>
        <v>94.426630475830436</v>
      </c>
      <c r="F34" s="57">
        <f>90</f>
        <v>90</v>
      </c>
      <c r="G34" s="57">
        <f>(52.99/0.45+20.99/0.4+34.99/0.4)/3</f>
        <v>85.901851851851845</v>
      </c>
      <c r="H34" s="57">
        <f>75/0.45</f>
        <v>166.66666666666666</v>
      </c>
      <c r="I34" s="58"/>
      <c r="J34" s="59">
        <f>(22.99/0.4+49.99/0.4)/2</f>
        <v>91.224999999999994</v>
      </c>
      <c r="K34" s="59">
        <f>(19.99/0.4+34.99/0.45)/2</f>
        <v>63.865277777777777</v>
      </c>
    </row>
    <row r="35" spans="2:14" s="1" customFormat="1" ht="30" customHeight="1" x14ac:dyDescent="0.2">
      <c r="B35" s="4"/>
      <c r="C35" s="8" t="s">
        <v>37</v>
      </c>
      <c r="D35" s="11" t="s">
        <v>4</v>
      </c>
      <c r="E35" s="12">
        <f>IF(SUM(F35:K35)=0,0,SUM(GEOMEAN(F35:K35)))</f>
        <v>90.553933533808191</v>
      </c>
      <c r="F35" s="56">
        <f>80/0.4</f>
        <v>200</v>
      </c>
      <c r="G35" s="56">
        <f>22.99/0.4</f>
        <v>57.474999999999994</v>
      </c>
      <c r="H35" s="56">
        <f>70/0.8</f>
        <v>87.5</v>
      </c>
      <c r="I35" s="63"/>
      <c r="J35" s="56">
        <f>(19.99/0.4+31.49/0.4)/2</f>
        <v>64.349999999999994</v>
      </c>
      <c r="K35" s="56">
        <f>(34.99/0.4+39.99/0.45+19.99/0.45+69.99/0.45)/4</f>
        <v>94.074305555555554</v>
      </c>
      <c r="L35" s="66"/>
      <c r="M35" s="67"/>
      <c r="N35" s="67"/>
    </row>
    <row r="36" spans="2:14" s="1" customFormat="1" ht="30" customHeight="1" x14ac:dyDescent="0.2">
      <c r="B36" s="4"/>
      <c r="C36" s="8" t="s">
        <v>23</v>
      </c>
      <c r="D36" s="11" t="s">
        <v>4</v>
      </c>
      <c r="E36" s="12">
        <f t="shared" si="0"/>
        <v>49.793782816809511</v>
      </c>
      <c r="F36" s="57">
        <v>45</v>
      </c>
      <c r="G36" s="57">
        <v>49.99</v>
      </c>
      <c r="H36" s="57">
        <v>45</v>
      </c>
      <c r="I36" s="58"/>
      <c r="J36" s="59">
        <v>54.99</v>
      </c>
      <c r="K36" s="59">
        <v>54.99</v>
      </c>
    </row>
    <row r="37" spans="2:14" s="47" customFormat="1" ht="30" customHeight="1" x14ac:dyDescent="0.2">
      <c r="B37" s="46"/>
      <c r="C37" s="48" t="s">
        <v>24</v>
      </c>
      <c r="D37" s="49" t="s">
        <v>4</v>
      </c>
      <c r="E37" s="38">
        <f t="shared" si="0"/>
        <v>47.957866417662842</v>
      </c>
      <c r="F37" s="57">
        <v>60</v>
      </c>
      <c r="G37" s="57">
        <v>42.99</v>
      </c>
      <c r="H37" s="57">
        <v>60</v>
      </c>
      <c r="I37" s="58"/>
      <c r="J37" s="59">
        <v>39.99</v>
      </c>
      <c r="K37" s="59">
        <f>(36.99+44.99)/2</f>
        <v>40.99</v>
      </c>
      <c r="L37" s="9"/>
      <c r="M37" s="1"/>
      <c r="N37" s="1"/>
    </row>
    <row r="38" spans="2:14" s="1" customFormat="1" ht="30" customHeight="1" x14ac:dyDescent="0.2">
      <c r="B38" s="4"/>
      <c r="C38" s="8" t="s">
        <v>25</v>
      </c>
      <c r="D38" s="11" t="s">
        <v>4</v>
      </c>
      <c r="E38" s="12">
        <f>IF(SUM(F38:K38)=0,0,SUM(GEOMEAN(F38:K38)))</f>
        <v>48.043602518036771</v>
      </c>
      <c r="F38" s="57">
        <f>(40+60)/2</f>
        <v>50</v>
      </c>
      <c r="G38" s="57">
        <v>47.99</v>
      </c>
      <c r="H38" s="57">
        <v>45</v>
      </c>
      <c r="I38" s="58"/>
      <c r="J38" s="59">
        <v>50.99</v>
      </c>
      <c r="K38" s="59">
        <f>(42.99+49.99)/2</f>
        <v>46.49</v>
      </c>
    </row>
    <row r="39" spans="2:14" s="1" customFormat="1" ht="30" customHeight="1" x14ac:dyDescent="0.2">
      <c r="B39" s="4"/>
      <c r="C39" s="8" t="s">
        <v>26</v>
      </c>
      <c r="D39" s="11" t="s">
        <v>4</v>
      </c>
      <c r="E39" s="12">
        <f t="shared" si="0"/>
        <v>48.228579568088676</v>
      </c>
      <c r="F39" s="57">
        <v>60</v>
      </c>
      <c r="G39" s="57">
        <v>33.99</v>
      </c>
      <c r="H39" s="57">
        <v>50</v>
      </c>
      <c r="I39" s="58"/>
      <c r="J39" s="59">
        <v>31.99</v>
      </c>
      <c r="K39" s="59">
        <v>79.989999999999995</v>
      </c>
      <c r="L39" s="9"/>
    </row>
    <row r="40" spans="2:14" s="1" customFormat="1" ht="35.25" customHeight="1" thickBot="1" x14ac:dyDescent="0.25">
      <c r="B40" s="5"/>
      <c r="C40" s="15" t="s">
        <v>27</v>
      </c>
      <c r="D40" s="16" t="s">
        <v>4</v>
      </c>
      <c r="E40" s="17">
        <f t="shared" si="0"/>
        <v>159.10116470361783</v>
      </c>
      <c r="F40" s="60">
        <v>200</v>
      </c>
      <c r="G40" s="60">
        <f>(107.99+139.99+149.99)/3</f>
        <v>132.65666666666667</v>
      </c>
      <c r="H40" s="60">
        <v>200</v>
      </c>
      <c r="I40" s="64"/>
      <c r="J40" s="65">
        <f>(89.99+112.99+149.99+195.99)/4</f>
        <v>137.24</v>
      </c>
      <c r="K40" s="65">
        <f>(129.99+139.99+149.99)/3</f>
        <v>139.99</v>
      </c>
    </row>
    <row r="41" spans="2:14" ht="34.5" customHeight="1" x14ac:dyDescent="0.2">
      <c r="C41" s="39"/>
      <c r="D41" s="40"/>
      <c r="E41" s="41"/>
      <c r="F41" s="3"/>
      <c r="G41" s="50"/>
      <c r="H41" s="42"/>
      <c r="I41" s="42"/>
      <c r="J41" s="42"/>
      <c r="K41" s="42"/>
      <c r="L41" s="41"/>
      <c r="M41" s="41"/>
    </row>
    <row r="42" spans="2:14" ht="15" x14ac:dyDescent="0.2">
      <c r="C42" s="39"/>
      <c r="D42" s="40"/>
      <c r="E42" s="41"/>
      <c r="F42" s="3"/>
      <c r="G42" s="50"/>
      <c r="H42" s="42"/>
      <c r="I42" s="42"/>
      <c r="J42" s="42"/>
      <c r="K42" s="42"/>
      <c r="L42" s="41"/>
      <c r="M42" s="41"/>
    </row>
    <row r="43" spans="2:14" ht="15" x14ac:dyDescent="0.2">
      <c r="C43" s="39"/>
      <c r="D43" s="40"/>
      <c r="E43" s="41"/>
      <c r="F43" s="3"/>
      <c r="G43" s="50"/>
      <c r="H43" s="42"/>
      <c r="I43" s="42"/>
      <c r="J43" s="42"/>
      <c r="K43" s="42"/>
      <c r="L43" s="41"/>
      <c r="M43" s="41"/>
    </row>
    <row r="44" spans="2:14" ht="15" x14ac:dyDescent="0.2">
      <c r="C44" s="39"/>
      <c r="D44" s="40"/>
      <c r="E44" s="41"/>
      <c r="F44" s="3"/>
      <c r="G44" s="50"/>
      <c r="H44" s="42"/>
      <c r="I44" s="42"/>
      <c r="J44" s="42"/>
      <c r="K44" s="42"/>
      <c r="L44" s="41"/>
      <c r="M44" s="41"/>
    </row>
    <row r="45" spans="2:14" ht="15" x14ac:dyDescent="0.2">
      <c r="C45" s="39"/>
      <c r="D45" s="40"/>
      <c r="E45" s="41"/>
      <c r="F45" s="3"/>
      <c r="G45" s="50"/>
      <c r="H45" s="42"/>
      <c r="I45" s="42"/>
      <c r="J45" s="42"/>
      <c r="K45" s="42"/>
      <c r="L45" s="41"/>
      <c r="M45" s="41"/>
    </row>
    <row r="46" spans="2:14" ht="15" x14ac:dyDescent="0.2">
      <c r="C46" s="39"/>
      <c r="D46" s="40"/>
      <c r="E46" s="41"/>
      <c r="F46" s="3"/>
      <c r="G46" s="50"/>
      <c r="H46" s="42"/>
      <c r="I46" s="42"/>
      <c r="J46" s="42"/>
      <c r="K46" s="42"/>
      <c r="L46" s="41"/>
      <c r="M46" s="41"/>
    </row>
    <row r="47" spans="2:14" ht="15" x14ac:dyDescent="0.2">
      <c r="C47" s="39"/>
      <c r="D47" s="40"/>
      <c r="E47" s="41"/>
      <c r="F47" s="3"/>
      <c r="G47" s="50"/>
      <c r="H47" s="42"/>
      <c r="I47" s="42"/>
      <c r="J47" s="42"/>
      <c r="K47" s="42"/>
      <c r="L47" s="41"/>
      <c r="M47" s="41"/>
    </row>
    <row r="48" spans="2:14" ht="15" x14ac:dyDescent="0.2">
      <c r="C48" s="39"/>
      <c r="D48" s="40"/>
      <c r="E48" s="41"/>
      <c r="F48" s="3"/>
      <c r="G48" s="50"/>
      <c r="H48" s="42"/>
      <c r="I48" s="42"/>
      <c r="J48" s="42"/>
      <c r="K48" s="42"/>
      <c r="L48" s="41"/>
      <c r="M48" s="41"/>
    </row>
    <row r="49" spans="3:13" ht="15" x14ac:dyDescent="0.2">
      <c r="C49" s="39"/>
      <c r="D49" s="40"/>
      <c r="E49" s="41"/>
      <c r="F49" s="3"/>
      <c r="G49" s="50"/>
      <c r="H49" s="42"/>
      <c r="I49" s="42"/>
      <c r="J49" s="42"/>
      <c r="K49" s="42"/>
      <c r="L49" s="41"/>
      <c r="M49" s="41"/>
    </row>
    <row r="50" spans="3:13" ht="15" x14ac:dyDescent="0.2">
      <c r="C50" s="39"/>
      <c r="D50" s="40"/>
      <c r="E50" s="41"/>
      <c r="F50" s="3"/>
      <c r="G50" s="50"/>
      <c r="H50" s="42"/>
      <c r="I50" s="42"/>
      <c r="J50" s="42"/>
      <c r="K50" s="42"/>
      <c r="L50" s="41"/>
      <c r="M50" s="41"/>
    </row>
    <row r="51" spans="3:13" ht="15" x14ac:dyDescent="0.2">
      <c r="C51" s="43"/>
      <c r="D51" s="44"/>
    </row>
    <row r="52" spans="3:13" ht="15" x14ac:dyDescent="0.2">
      <c r="C52" s="43"/>
      <c r="D52" s="44"/>
    </row>
    <row r="53" spans="3:13" ht="15" x14ac:dyDescent="0.2">
      <c r="C53" s="43"/>
      <c r="D53" s="44"/>
    </row>
    <row r="54" spans="3:13" ht="15" x14ac:dyDescent="0.2">
      <c r="C54" s="43"/>
      <c r="D54" s="44"/>
    </row>
    <row r="55" spans="3:13" ht="15" x14ac:dyDescent="0.2">
      <c r="C55" s="43"/>
      <c r="D55" s="44"/>
    </row>
    <row r="56" spans="3:13" ht="15" x14ac:dyDescent="0.2">
      <c r="C56" s="43"/>
      <c r="D56" s="44"/>
    </row>
    <row r="57" spans="3:13" ht="15" x14ac:dyDescent="0.2">
      <c r="C57" s="43"/>
      <c r="D57" s="44"/>
    </row>
    <row r="58" spans="3:13" ht="15" x14ac:dyDescent="0.2">
      <c r="C58" s="43"/>
      <c r="D58" s="44"/>
    </row>
    <row r="59" spans="3:13" ht="15" x14ac:dyDescent="0.2">
      <c r="C59" s="43"/>
      <c r="D59" s="44"/>
    </row>
    <row r="60" spans="3:13" ht="15" x14ac:dyDescent="0.2">
      <c r="C60" s="43"/>
      <c r="D60" s="44"/>
    </row>
    <row r="61" spans="3:13" ht="15" x14ac:dyDescent="0.2">
      <c r="C61" s="43"/>
      <c r="D61" s="44"/>
    </row>
    <row r="62" spans="3:13" ht="15" x14ac:dyDescent="0.2">
      <c r="C62" s="43"/>
      <c r="D62" s="44"/>
    </row>
    <row r="63" spans="3:13" ht="15" x14ac:dyDescent="0.2">
      <c r="C63" s="43"/>
      <c r="D63" s="44"/>
    </row>
    <row r="64" spans="3:13" ht="15" x14ac:dyDescent="0.2">
      <c r="C64" s="43"/>
      <c r="D64" s="44"/>
    </row>
    <row r="65" spans="3:4" ht="15" x14ac:dyDescent="0.2">
      <c r="C65" s="43"/>
      <c r="D65" s="44"/>
    </row>
    <row r="66" spans="3:4" ht="15" x14ac:dyDescent="0.2">
      <c r="C66" s="43"/>
      <c r="D66" s="44"/>
    </row>
    <row r="67" spans="3:4" ht="15" x14ac:dyDescent="0.2">
      <c r="C67" s="43"/>
      <c r="D67" s="44"/>
    </row>
    <row r="68" spans="3:4" ht="15" x14ac:dyDescent="0.2">
      <c r="C68" s="43"/>
      <c r="D68" s="44"/>
    </row>
    <row r="69" spans="3:4" ht="15" x14ac:dyDescent="0.2">
      <c r="C69" s="43"/>
      <c r="D69" s="44"/>
    </row>
    <row r="70" spans="3:4" ht="15" x14ac:dyDescent="0.2">
      <c r="C70" s="43"/>
      <c r="D70" s="44"/>
    </row>
    <row r="71" spans="3:4" ht="15" x14ac:dyDescent="0.2">
      <c r="C71" s="43"/>
      <c r="D71" s="44"/>
    </row>
    <row r="72" spans="3:4" ht="15" x14ac:dyDescent="0.2">
      <c r="C72" s="43"/>
      <c r="D72" s="44"/>
    </row>
    <row r="73" spans="3:4" ht="15" x14ac:dyDescent="0.2">
      <c r="C73" s="43"/>
      <c r="D73" s="44"/>
    </row>
    <row r="74" spans="3:4" ht="15" x14ac:dyDescent="0.2">
      <c r="C74" s="43"/>
      <c r="D74" s="44"/>
    </row>
    <row r="75" spans="3:4" ht="15" x14ac:dyDescent="0.2">
      <c r="C75" s="43"/>
      <c r="D75" s="44"/>
    </row>
    <row r="76" spans="3:4" ht="15" x14ac:dyDescent="0.2">
      <c r="C76" s="43"/>
      <c r="D76" s="44"/>
    </row>
    <row r="77" spans="3:4" ht="15" x14ac:dyDescent="0.2">
      <c r="C77" s="43"/>
      <c r="D77" s="44"/>
    </row>
    <row r="78" spans="3:4" ht="15" x14ac:dyDescent="0.2">
      <c r="C78" s="43"/>
      <c r="D78" s="44"/>
    </row>
    <row r="79" spans="3:4" ht="15" x14ac:dyDescent="0.2">
      <c r="C79" s="43"/>
      <c r="D79" s="44"/>
    </row>
    <row r="80" spans="3:4" ht="15" x14ac:dyDescent="0.2">
      <c r="C80" s="43"/>
      <c r="D80" s="44"/>
    </row>
    <row r="81" spans="3:4" ht="15" x14ac:dyDescent="0.2">
      <c r="C81" s="43"/>
      <c r="D81" s="44"/>
    </row>
    <row r="82" spans="3:4" ht="15" x14ac:dyDescent="0.2">
      <c r="C82" s="43"/>
      <c r="D82" s="44"/>
    </row>
    <row r="83" spans="3:4" ht="15" x14ac:dyDescent="0.2">
      <c r="C83" s="43"/>
      <c r="D83" s="44"/>
    </row>
    <row r="84" spans="3:4" ht="15" x14ac:dyDescent="0.2">
      <c r="C84" s="43"/>
      <c r="D84" s="44"/>
    </row>
    <row r="85" spans="3:4" ht="15" x14ac:dyDescent="0.2">
      <c r="C85" s="43"/>
      <c r="D85" s="44"/>
    </row>
    <row r="86" spans="3:4" ht="15" x14ac:dyDescent="0.2">
      <c r="C86" s="43"/>
      <c r="D86" s="44"/>
    </row>
    <row r="87" spans="3:4" ht="15" x14ac:dyDescent="0.2">
      <c r="C87" s="43"/>
      <c r="D87" s="44"/>
    </row>
    <row r="88" spans="3:4" ht="15" x14ac:dyDescent="0.2">
      <c r="C88" s="43"/>
      <c r="D88" s="44"/>
    </row>
    <row r="89" spans="3:4" ht="15" x14ac:dyDescent="0.2">
      <c r="C89" s="43"/>
      <c r="D89" s="44"/>
    </row>
    <row r="90" spans="3:4" ht="15" x14ac:dyDescent="0.2">
      <c r="C90" s="43"/>
      <c r="D90" s="44"/>
    </row>
    <row r="91" spans="3:4" ht="15" x14ac:dyDescent="0.2">
      <c r="C91" s="43"/>
      <c r="D91" s="44"/>
    </row>
    <row r="92" spans="3:4" ht="15" x14ac:dyDescent="0.2">
      <c r="C92" s="43"/>
      <c r="D92" s="44"/>
    </row>
    <row r="93" spans="3:4" ht="15" x14ac:dyDescent="0.2">
      <c r="C93" s="43"/>
      <c r="D93" s="44"/>
    </row>
    <row r="94" spans="3:4" ht="15" x14ac:dyDescent="0.2">
      <c r="C94" s="43"/>
      <c r="D94" s="44"/>
    </row>
    <row r="95" spans="3:4" ht="15" x14ac:dyDescent="0.2">
      <c r="C95" s="43"/>
      <c r="D95" s="44"/>
    </row>
    <row r="96" spans="3:4" ht="15" x14ac:dyDescent="0.2">
      <c r="C96" s="43"/>
      <c r="D96" s="44"/>
    </row>
    <row r="97" spans="3:4" ht="15" x14ac:dyDescent="0.2">
      <c r="C97" s="43"/>
      <c r="D97" s="44"/>
    </row>
    <row r="98" spans="3:4" ht="15" x14ac:dyDescent="0.2">
      <c r="C98" s="43"/>
      <c r="D98" s="44"/>
    </row>
    <row r="99" spans="3:4" ht="15" x14ac:dyDescent="0.2">
      <c r="C99" s="43"/>
      <c r="D99" s="44"/>
    </row>
    <row r="100" spans="3:4" ht="15" x14ac:dyDescent="0.2">
      <c r="C100" s="43"/>
      <c r="D100" s="44"/>
    </row>
    <row r="101" spans="3:4" ht="15" x14ac:dyDescent="0.2">
      <c r="C101" s="43"/>
      <c r="D101" s="44"/>
    </row>
    <row r="102" spans="3:4" ht="15" x14ac:dyDescent="0.2">
      <c r="C102" s="43"/>
      <c r="D102" s="44"/>
    </row>
    <row r="103" spans="3:4" ht="15" x14ac:dyDescent="0.2">
      <c r="C103" s="43"/>
      <c r="D103" s="44"/>
    </row>
    <row r="104" spans="3:4" ht="15" x14ac:dyDescent="0.2">
      <c r="C104" s="43"/>
      <c r="D104" s="44"/>
    </row>
    <row r="105" spans="3:4" ht="15" x14ac:dyDescent="0.2">
      <c r="C105" s="43"/>
      <c r="D105" s="44"/>
    </row>
    <row r="106" spans="3:4" ht="15" x14ac:dyDescent="0.2">
      <c r="C106" s="43"/>
      <c r="D106" s="44"/>
    </row>
    <row r="107" spans="3:4" ht="15" x14ac:dyDescent="0.2">
      <c r="C107" s="43"/>
      <c r="D107" s="44"/>
    </row>
    <row r="108" spans="3:4" ht="15" x14ac:dyDescent="0.2">
      <c r="C108" s="43"/>
      <c r="D108" s="44"/>
    </row>
    <row r="109" spans="3:4" ht="15" x14ac:dyDescent="0.2">
      <c r="C109" s="43"/>
      <c r="D109" s="44"/>
    </row>
    <row r="110" spans="3:4" ht="15" x14ac:dyDescent="0.2">
      <c r="C110" s="43"/>
      <c r="D110" s="44"/>
    </row>
    <row r="111" spans="3:4" ht="15" x14ac:dyDescent="0.2">
      <c r="C111" s="43"/>
      <c r="D111" s="44"/>
    </row>
    <row r="112" spans="3:4" ht="15" x14ac:dyDescent="0.2">
      <c r="C112" s="43"/>
      <c r="D112" s="44"/>
    </row>
    <row r="113" spans="3:4" ht="15" x14ac:dyDescent="0.2">
      <c r="C113" s="43"/>
      <c r="D113" s="44"/>
    </row>
    <row r="114" spans="3:4" ht="15" x14ac:dyDescent="0.2">
      <c r="C114" s="43"/>
      <c r="D114" s="44"/>
    </row>
    <row r="115" spans="3:4" ht="15" x14ac:dyDescent="0.2">
      <c r="C115" s="43"/>
      <c r="D115" s="44"/>
    </row>
    <row r="116" spans="3:4" ht="15" x14ac:dyDescent="0.2">
      <c r="C116" s="43"/>
      <c r="D116" s="44"/>
    </row>
    <row r="117" spans="3:4" ht="15" x14ac:dyDescent="0.2">
      <c r="C117" s="43"/>
      <c r="D117" s="44"/>
    </row>
    <row r="118" spans="3:4" ht="15" x14ac:dyDescent="0.2">
      <c r="C118" s="43"/>
      <c r="D118" s="44"/>
    </row>
    <row r="119" spans="3:4" ht="15" x14ac:dyDescent="0.2">
      <c r="C119" s="43"/>
      <c r="D119" s="44"/>
    </row>
    <row r="120" spans="3:4" ht="15" x14ac:dyDescent="0.2">
      <c r="C120" s="43"/>
      <c r="D120" s="44"/>
    </row>
    <row r="121" spans="3:4" ht="15" x14ac:dyDescent="0.2">
      <c r="C121" s="43"/>
      <c r="D121" s="44"/>
    </row>
    <row r="122" spans="3:4" ht="15" x14ac:dyDescent="0.2">
      <c r="C122" s="43"/>
      <c r="D122" s="44"/>
    </row>
    <row r="123" spans="3:4" ht="15" x14ac:dyDescent="0.2">
      <c r="C123" s="43"/>
      <c r="D123" s="44"/>
    </row>
    <row r="124" spans="3:4" ht="15" x14ac:dyDescent="0.2">
      <c r="C124" s="43"/>
      <c r="D124" s="44"/>
    </row>
    <row r="125" spans="3:4" ht="15" x14ac:dyDescent="0.2">
      <c r="C125" s="43"/>
      <c r="D125" s="44"/>
    </row>
    <row r="126" spans="3:4" ht="15" x14ac:dyDescent="0.2">
      <c r="C126" s="43"/>
      <c r="D126" s="44"/>
    </row>
    <row r="127" spans="3:4" ht="15" x14ac:dyDescent="0.2">
      <c r="C127" s="43"/>
      <c r="D127" s="44"/>
    </row>
    <row r="128" spans="3:4" ht="15" x14ac:dyDescent="0.2">
      <c r="C128" s="43"/>
      <c r="D128" s="44"/>
    </row>
    <row r="129" spans="3:4" ht="15" x14ac:dyDescent="0.2">
      <c r="C129" s="43"/>
      <c r="D129" s="44"/>
    </row>
    <row r="130" spans="3:4" ht="15" x14ac:dyDescent="0.2">
      <c r="C130" s="43"/>
      <c r="D130" s="44"/>
    </row>
    <row r="131" spans="3:4" ht="15" x14ac:dyDescent="0.2">
      <c r="C131" s="43"/>
      <c r="D131" s="44"/>
    </row>
    <row r="132" spans="3:4" ht="15" x14ac:dyDescent="0.2">
      <c r="C132" s="43"/>
      <c r="D132" s="44"/>
    </row>
    <row r="133" spans="3:4" ht="15" x14ac:dyDescent="0.2">
      <c r="C133" s="43"/>
      <c r="D133" s="44"/>
    </row>
    <row r="134" spans="3:4" ht="15" x14ac:dyDescent="0.2">
      <c r="C134" s="43"/>
      <c r="D134" s="44"/>
    </row>
    <row r="135" spans="3:4" ht="15" x14ac:dyDescent="0.2">
      <c r="C135" s="43"/>
      <c r="D135" s="44"/>
    </row>
    <row r="136" spans="3:4" ht="15" x14ac:dyDescent="0.2">
      <c r="C136" s="43"/>
      <c r="D136" s="44"/>
    </row>
    <row r="137" spans="3:4" ht="15" x14ac:dyDescent="0.2">
      <c r="C137" s="43"/>
      <c r="D137" s="44"/>
    </row>
    <row r="138" spans="3:4" ht="15" x14ac:dyDescent="0.2">
      <c r="C138" s="43"/>
      <c r="D138" s="44"/>
    </row>
    <row r="139" spans="3:4" ht="15" x14ac:dyDescent="0.2">
      <c r="C139" s="43"/>
      <c r="D139" s="44"/>
    </row>
    <row r="140" spans="3:4" ht="15" x14ac:dyDescent="0.2">
      <c r="C140" s="43"/>
      <c r="D140" s="44"/>
    </row>
    <row r="141" spans="3:4" ht="15" x14ac:dyDescent="0.2">
      <c r="C141" s="43"/>
      <c r="D141" s="44"/>
    </row>
    <row r="142" spans="3:4" ht="15" x14ac:dyDescent="0.2">
      <c r="C142" s="43"/>
      <c r="D142" s="44"/>
    </row>
    <row r="143" spans="3:4" ht="15" x14ac:dyDescent="0.2">
      <c r="C143" s="43"/>
      <c r="D143" s="44"/>
    </row>
    <row r="144" spans="3:4" ht="15" x14ac:dyDescent="0.2">
      <c r="C144" s="43"/>
      <c r="D144" s="44"/>
    </row>
    <row r="145" spans="3:4" ht="15" x14ac:dyDescent="0.2">
      <c r="C145" s="43"/>
      <c r="D145" s="44"/>
    </row>
    <row r="146" spans="3:4" ht="15" x14ac:dyDescent="0.2">
      <c r="C146" s="43"/>
      <c r="D146" s="44"/>
    </row>
    <row r="147" spans="3:4" ht="15" x14ac:dyDescent="0.2">
      <c r="C147" s="43"/>
      <c r="D147" s="44"/>
    </row>
    <row r="148" spans="3:4" ht="15" x14ac:dyDescent="0.2">
      <c r="C148" s="43"/>
      <c r="D148" s="44"/>
    </row>
    <row r="149" spans="3:4" ht="15" x14ac:dyDescent="0.2">
      <c r="C149" s="43"/>
      <c r="D149" s="44"/>
    </row>
    <row r="150" spans="3:4" ht="15" x14ac:dyDescent="0.2">
      <c r="C150" s="43"/>
      <c r="D150" s="44"/>
    </row>
    <row r="151" spans="3:4" ht="15" x14ac:dyDescent="0.2">
      <c r="C151" s="43"/>
      <c r="D151" s="44"/>
    </row>
    <row r="152" spans="3:4" ht="15" x14ac:dyDescent="0.2">
      <c r="C152" s="43"/>
      <c r="D152" s="44"/>
    </row>
    <row r="153" spans="3:4" ht="15" x14ac:dyDescent="0.2">
      <c r="C153" s="43"/>
      <c r="D153" s="44"/>
    </row>
    <row r="154" spans="3:4" ht="15" x14ac:dyDescent="0.2">
      <c r="C154" s="43"/>
      <c r="D154" s="44"/>
    </row>
    <row r="155" spans="3:4" ht="15" x14ac:dyDescent="0.2">
      <c r="C155" s="43"/>
      <c r="D155" s="44"/>
    </row>
    <row r="156" spans="3:4" ht="15" x14ac:dyDescent="0.2">
      <c r="C156" s="43"/>
      <c r="D156" s="44"/>
    </row>
    <row r="157" spans="3:4" ht="15" x14ac:dyDescent="0.2">
      <c r="C157" s="43"/>
      <c r="D157" s="44"/>
    </row>
    <row r="158" spans="3:4" ht="15" x14ac:dyDescent="0.2">
      <c r="C158" s="43"/>
      <c r="D158" s="44"/>
    </row>
    <row r="159" spans="3:4" ht="15" x14ac:dyDescent="0.2">
      <c r="C159" s="43"/>
      <c r="D159" s="44"/>
    </row>
    <row r="160" spans="3:4" ht="15" x14ac:dyDescent="0.2">
      <c r="C160" s="43"/>
      <c r="D160" s="44"/>
    </row>
    <row r="161" spans="3:4" ht="15" x14ac:dyDescent="0.2">
      <c r="C161" s="43"/>
      <c r="D161" s="44"/>
    </row>
    <row r="162" spans="3:4" ht="15" x14ac:dyDescent="0.2">
      <c r="C162" s="43"/>
      <c r="D162" s="44"/>
    </row>
    <row r="163" spans="3:4" ht="15" x14ac:dyDescent="0.2">
      <c r="C163" s="43"/>
      <c r="D163" s="44"/>
    </row>
    <row r="164" spans="3:4" ht="15" x14ac:dyDescent="0.2">
      <c r="C164" s="43"/>
      <c r="D164" s="44"/>
    </row>
    <row r="165" spans="3:4" ht="15" x14ac:dyDescent="0.2">
      <c r="C165" s="43"/>
      <c r="D165" s="44"/>
    </row>
    <row r="166" spans="3:4" ht="15" x14ac:dyDescent="0.2">
      <c r="C166" s="43"/>
      <c r="D166" s="44"/>
    </row>
    <row r="167" spans="3:4" ht="15" x14ac:dyDescent="0.2">
      <c r="C167" s="43"/>
      <c r="D167" s="44"/>
    </row>
    <row r="168" spans="3:4" ht="15" x14ac:dyDescent="0.2">
      <c r="C168" s="43"/>
      <c r="D168" s="44"/>
    </row>
    <row r="169" spans="3:4" ht="15" x14ac:dyDescent="0.2">
      <c r="C169" s="43"/>
      <c r="D169" s="44"/>
    </row>
    <row r="170" spans="3:4" ht="15" x14ac:dyDescent="0.2">
      <c r="C170" s="43"/>
      <c r="D170" s="44"/>
    </row>
    <row r="171" spans="3:4" ht="15" x14ac:dyDescent="0.2">
      <c r="C171" s="43"/>
      <c r="D171" s="44"/>
    </row>
    <row r="172" spans="3:4" ht="15" x14ac:dyDescent="0.2">
      <c r="C172" s="43"/>
      <c r="D172" s="44"/>
    </row>
    <row r="173" spans="3:4" ht="15" x14ac:dyDescent="0.2">
      <c r="C173" s="43"/>
      <c r="D173" s="44"/>
    </row>
    <row r="174" spans="3:4" ht="15" x14ac:dyDescent="0.2">
      <c r="C174" s="43"/>
      <c r="D174" s="44"/>
    </row>
    <row r="175" spans="3:4" ht="15" x14ac:dyDescent="0.2">
      <c r="C175" s="43"/>
      <c r="D175" s="44"/>
    </row>
    <row r="176" spans="3:4" ht="15" x14ac:dyDescent="0.2">
      <c r="C176" s="43"/>
      <c r="D176" s="44"/>
    </row>
    <row r="177" spans="3:4" ht="15" x14ac:dyDescent="0.2">
      <c r="C177" s="43"/>
      <c r="D177" s="44"/>
    </row>
    <row r="178" spans="3:4" ht="15" x14ac:dyDescent="0.2">
      <c r="C178" s="43"/>
      <c r="D178" s="44"/>
    </row>
    <row r="179" spans="3:4" ht="15" x14ac:dyDescent="0.2">
      <c r="C179" s="43"/>
      <c r="D179" s="44"/>
    </row>
    <row r="180" spans="3:4" ht="15" x14ac:dyDescent="0.2">
      <c r="C180" s="43"/>
      <c r="D180" s="44"/>
    </row>
    <row r="181" spans="3:4" ht="15" x14ac:dyDescent="0.2">
      <c r="C181" s="43"/>
      <c r="D181" s="44"/>
    </row>
    <row r="182" spans="3:4" ht="15" x14ac:dyDescent="0.2">
      <c r="C182" s="43"/>
      <c r="D182" s="44"/>
    </row>
    <row r="183" spans="3:4" ht="15" x14ac:dyDescent="0.2">
      <c r="C183" s="43"/>
      <c r="D183" s="44"/>
    </row>
    <row r="184" spans="3:4" ht="15" x14ac:dyDescent="0.2">
      <c r="C184" s="43"/>
      <c r="D184" s="44"/>
    </row>
    <row r="185" spans="3:4" ht="15" x14ac:dyDescent="0.2">
      <c r="C185" s="43"/>
      <c r="D185" s="44"/>
    </row>
    <row r="186" spans="3:4" ht="15" x14ac:dyDescent="0.2">
      <c r="C186" s="43"/>
      <c r="D186" s="44"/>
    </row>
    <row r="187" spans="3:4" ht="15" x14ac:dyDescent="0.2">
      <c r="C187" s="43"/>
      <c r="D187" s="44"/>
    </row>
    <row r="188" spans="3:4" ht="15" x14ac:dyDescent="0.2">
      <c r="C188" s="43"/>
      <c r="D188" s="44"/>
    </row>
    <row r="189" spans="3:4" ht="15" x14ac:dyDescent="0.2">
      <c r="C189" s="43"/>
      <c r="D189" s="44"/>
    </row>
    <row r="190" spans="3:4" ht="15" x14ac:dyDescent="0.2">
      <c r="C190" s="43"/>
      <c r="D190" s="44"/>
    </row>
    <row r="191" spans="3:4" ht="15" x14ac:dyDescent="0.2">
      <c r="C191" s="43"/>
      <c r="D191" s="44"/>
    </row>
    <row r="192" spans="3:4" ht="15" x14ac:dyDescent="0.2">
      <c r="C192" s="43"/>
      <c r="D192" s="44"/>
    </row>
    <row r="193" spans="3:4" ht="15" x14ac:dyDescent="0.2">
      <c r="C193" s="43"/>
      <c r="D193" s="44"/>
    </row>
    <row r="194" spans="3:4" ht="15" x14ac:dyDescent="0.2">
      <c r="C194" s="43"/>
      <c r="D194" s="44"/>
    </row>
    <row r="195" spans="3:4" ht="15" x14ac:dyDescent="0.2">
      <c r="C195" s="43"/>
      <c r="D195" s="44"/>
    </row>
    <row r="196" spans="3:4" ht="15" x14ac:dyDescent="0.2">
      <c r="C196" s="43"/>
      <c r="D196" s="44"/>
    </row>
    <row r="197" spans="3:4" ht="15" x14ac:dyDescent="0.2">
      <c r="C197" s="43"/>
      <c r="D197" s="44"/>
    </row>
    <row r="198" spans="3:4" ht="15" x14ac:dyDescent="0.2">
      <c r="C198" s="43"/>
      <c r="D198" s="44"/>
    </row>
    <row r="199" spans="3:4" ht="15" x14ac:dyDescent="0.2">
      <c r="C199" s="43"/>
      <c r="D199" s="44"/>
    </row>
    <row r="200" spans="3:4" ht="15" x14ac:dyDescent="0.2">
      <c r="C200" s="43"/>
      <c r="D200" s="44"/>
    </row>
    <row r="201" spans="3:4" ht="15" x14ac:dyDescent="0.2">
      <c r="C201" s="43"/>
      <c r="D201" s="44"/>
    </row>
    <row r="202" spans="3:4" ht="15" x14ac:dyDescent="0.2">
      <c r="C202" s="43"/>
      <c r="D202" s="44"/>
    </row>
    <row r="203" spans="3:4" ht="15" x14ac:dyDescent="0.2">
      <c r="C203" s="43"/>
      <c r="D203" s="44"/>
    </row>
    <row r="204" spans="3:4" ht="15" x14ac:dyDescent="0.2">
      <c r="C204" s="43"/>
      <c r="D204" s="44"/>
    </row>
    <row r="205" spans="3:4" ht="15" x14ac:dyDescent="0.2">
      <c r="C205" s="43"/>
      <c r="D205" s="44"/>
    </row>
    <row r="206" spans="3:4" ht="15" x14ac:dyDescent="0.2">
      <c r="C206" s="43"/>
      <c r="D206" s="44"/>
    </row>
    <row r="207" spans="3:4" ht="15" x14ac:dyDescent="0.2">
      <c r="C207" s="43"/>
      <c r="D207" s="44"/>
    </row>
    <row r="208" spans="3:4" ht="15" x14ac:dyDescent="0.2">
      <c r="C208" s="43"/>
      <c r="D208" s="44"/>
    </row>
    <row r="209" spans="3:4" ht="15" x14ac:dyDescent="0.2">
      <c r="C209" s="43"/>
      <c r="D209" s="44"/>
    </row>
    <row r="210" spans="3:4" ht="15" x14ac:dyDescent="0.2">
      <c r="C210" s="43"/>
      <c r="D210" s="44"/>
    </row>
    <row r="211" spans="3:4" ht="15" x14ac:dyDescent="0.2">
      <c r="C211" s="43"/>
      <c r="D211" s="44"/>
    </row>
    <row r="212" spans="3:4" ht="15" x14ac:dyDescent="0.2">
      <c r="C212" s="43"/>
      <c r="D212" s="44"/>
    </row>
    <row r="213" spans="3:4" ht="15" x14ac:dyDescent="0.2">
      <c r="C213" s="43"/>
      <c r="D213" s="44"/>
    </row>
    <row r="214" spans="3:4" ht="15" x14ac:dyDescent="0.2">
      <c r="C214" s="43"/>
      <c r="D214" s="44"/>
    </row>
    <row r="215" spans="3:4" ht="15" x14ac:dyDescent="0.2">
      <c r="C215" s="43"/>
      <c r="D215" s="44"/>
    </row>
    <row r="216" spans="3:4" ht="15" x14ac:dyDescent="0.2">
      <c r="C216" s="43"/>
      <c r="D216" s="44"/>
    </row>
    <row r="217" spans="3:4" ht="15" x14ac:dyDescent="0.2">
      <c r="C217" s="43"/>
      <c r="D217" s="44"/>
    </row>
  </sheetData>
  <mergeCells count="8">
    <mergeCell ref="L35:N35"/>
    <mergeCell ref="F4:F7"/>
    <mergeCell ref="G4:G7"/>
    <mergeCell ref="B1:K2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2024-12-27T04:46:39Z</cp:lastPrinted>
  <dcterms:created xsi:type="dcterms:W3CDTF">2007-04-16T07:34:00Z</dcterms:created>
  <dcterms:modified xsi:type="dcterms:W3CDTF">2024-12-27T06:31:19Z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