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14\ue$\_ПиЗП\Настя Документы\1. Отчеты (еженедельные, ежемесячные, квартальные)\1. МОНИТОРИНГ ЦЕН\1. 2023-2025\1. Ежемесячный, еженедельный по 32 наименованиям\2025\4. Апре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K20" i="1" l="1"/>
  <c r="J36" i="1"/>
  <c r="J34" i="1"/>
  <c r="J22" i="1"/>
  <c r="J20" i="1"/>
  <c r="J14" i="1"/>
  <c r="H20" i="1"/>
  <c r="G26" i="1"/>
  <c r="G25" i="1"/>
  <c r="K31" i="1" l="1"/>
  <c r="K32" i="1"/>
  <c r="K26" i="1" l="1"/>
  <c r="K25" i="1"/>
  <c r="K16" i="1"/>
  <c r="K15" i="1"/>
  <c r="J30" i="1"/>
  <c r="J29" i="1"/>
  <c r="J26" i="1"/>
  <c r="J25" i="1"/>
  <c r="J11" i="1"/>
  <c r="H31" i="1"/>
  <c r="H28" i="1"/>
  <c r="H11" i="1"/>
  <c r="G40" i="1"/>
  <c r="G14" i="1"/>
  <c r="G12" i="1"/>
  <c r="K24" i="1" l="1"/>
  <c r="K17" i="1"/>
  <c r="K14" i="1"/>
  <c r="J15" i="1"/>
  <c r="J13" i="1"/>
  <c r="H25" i="1"/>
  <c r="H14" i="1"/>
  <c r="G38" i="1"/>
  <c r="G24" i="1"/>
  <c r="G20" i="1"/>
  <c r="G18" i="1"/>
  <c r="G17" i="1"/>
  <c r="G15" i="1"/>
  <c r="J40" i="1" l="1"/>
  <c r="K13" i="1" l="1"/>
  <c r="K18" i="1"/>
  <c r="K19" i="1"/>
  <c r="K11" i="1"/>
  <c r="K40" i="1"/>
  <c r="J12" i="1"/>
  <c r="J17" i="1"/>
  <c r="J18" i="1"/>
  <c r="J35" i="1"/>
  <c r="J32" i="1"/>
  <c r="J28" i="1"/>
  <c r="J27" i="1"/>
  <c r="J31" i="1"/>
  <c r="G34" i="1"/>
  <c r="G30" i="1"/>
  <c r="G28" i="1"/>
  <c r="G31" i="1"/>
  <c r="G32" i="1"/>
  <c r="G21" i="1"/>
  <c r="G16" i="1"/>
  <c r="G13" i="1"/>
  <c r="G19" i="1"/>
  <c r="F18" i="1" l="1"/>
  <c r="K28" i="1"/>
  <c r="H15" i="1"/>
  <c r="H16" i="1"/>
  <c r="J16" i="1" l="1"/>
  <c r="J19" i="1"/>
  <c r="J24" i="1" l="1"/>
  <c r="H35" i="1"/>
  <c r="F19" i="1"/>
  <c r="F17" i="1"/>
  <c r="F15" i="1"/>
  <c r="K21" i="1" l="1"/>
  <c r="H18" i="1"/>
  <c r="H17" i="1"/>
  <c r="K22" i="1" l="1"/>
  <c r="H26" i="1"/>
  <c r="K34" i="1" l="1"/>
  <c r="K29" i="1"/>
  <c r="H13" i="1"/>
  <c r="G29" i="1"/>
  <c r="G11" i="1"/>
  <c r="F13" i="1"/>
  <c r="G22" i="1" l="1"/>
  <c r="H34" i="1" l="1"/>
  <c r="H19" i="1"/>
  <c r="G35" i="1" l="1"/>
  <c r="K30" i="1" l="1"/>
  <c r="L10" i="1" l="1"/>
  <c r="L33" i="1"/>
  <c r="J21" i="1" l="1"/>
  <c r="G33" i="1" l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G27" i="1" l="1"/>
  <c r="F24" i="1" l="1"/>
  <c r="H32" i="1" l="1"/>
  <c r="J33" i="1" l="1"/>
  <c r="H24" i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K35" i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L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E14" i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<sst xmlns="http://schemas.openxmlformats.org/spreadsheetml/2006/main" count="81" uniqueCount="53">
  <si>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</si>
  <si>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</si>
  <si>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</si>
  <si>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</si>
  <si>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</si>
  <si>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</si>
  <si>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</si>
  <si>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</si>
  <si>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</si>
  <si>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</si>
  <si>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</si>
  <si>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</si>
  <si>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</si>
  <si>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</si>
  <si>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</si>
  <si>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</si>
  <si>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</si>
  <si>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</si>
  <si>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</si>
  <si>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</si>
  <si>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</si>
  <si>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</si>
  <si>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</si>
  <si>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</si>
  <si>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</si>
  <si>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</si>
  <si>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</si>
  <si>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</si>
  <si>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</si>
  <si>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</si>
  <si>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</si>
  <si>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</si>
  <si>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</si>
  <si>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</si>
  <si>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</si>
  <si>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</si>
  <si>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</si>
  <si>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</si>
  <si>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</si>
  <si>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</si>
  <si>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</si>
  <si>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</si>
  <si>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</si>
  <si>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</si>
  <si>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</si>
  <si>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</si>
  <si>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</si>
  <si>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</si>
  <si>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</si>
  <si>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</si>
  <si>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04.04.2025 г.</t>
  </si>
  <si>
    <t>Ср. цены на 28.03.2025 год</t>
  </si>
  <si>
    <t>РЕГИОНАЛЬНЫЙ ИНФОРМАЦИОННЫЙ МОНИТОРИНГ ЦЕН
апрель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</si>
</sst>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4" fontId="11" fillId="0" borderId="21" xfId="0" applyNumberFormat="1" applyFont="1" applyFill="1" applyBorder="1" applyAlignment="1">
      <alignment horizontal="center" vertical="center"/>
    </xf>
    <xf numFmtId="4" fontId="11" fillId="0" borderId="21" xfId="0" applyNumberFormat="1" applyFont="1" applyFill="1" applyBorder="1" applyAlignment="1">
      <alignment horizontal="left" vertical="center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11" fillId="0" borderId="21" xfId="0" applyNumberFormat="1" applyFont="1" applyFill="1" applyBorder="1" applyAlignment="1" applyProtection="1">
      <alignment horizontal="center" vertical="center"/>
      <protection locked="0"/>
    </xf>
    <xf numFmtId="4" fontId="3" fillId="0" borderId="21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left" vertical="center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>
      <alignment horizontal="center" vertical="center"/>
    </xf>
    <xf numFmtId="4" fontId="3" fillId="0" borderId="2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 applyProtection="1">
      <alignment horizontal="center" vertical="center"/>
      <protection locked="0"/>
    </xf>
    <xf numFmtId="2" fontId="3" fillId="0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80" zoomScaleNormal="70" zoomScaleSheetLayoutView="80" workbookViewId="0">
      <pane xSplit="3" ySplit="7" topLeftCell="F8" activePane="bottomRight" state="frozen"/>
      <selection pane="topRight"/>
      <selection pane="bottomLeft"/>
      <selection pane="bottomRight" activeCell="Q11" sqref="Q11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62" t="s">
        <v>50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5" ht="12.75" customHeight="1" x14ac:dyDescent="0.2"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52</v>
      </c>
      <c r="D4" s="29"/>
      <c r="E4" s="29"/>
      <c r="F4" s="59" t="s">
        <v>38</v>
      </c>
      <c r="G4" s="59" t="s">
        <v>39</v>
      </c>
      <c r="H4" s="59" t="s">
        <v>40</v>
      </c>
      <c r="I4" s="59" t="s">
        <v>41</v>
      </c>
      <c r="J4" s="59" t="s">
        <v>42</v>
      </c>
      <c r="K4" s="59" t="s">
        <v>43</v>
      </c>
      <c r="L4" s="65" t="s">
        <v>44</v>
      </c>
      <c r="M4" s="63" t="s">
        <v>51</v>
      </c>
    </row>
    <row r="5" spans="1:15" ht="18.75" x14ac:dyDescent="0.2">
      <c r="A5" s="26"/>
      <c r="B5" s="30"/>
      <c r="C5" s="31"/>
      <c r="D5" s="32" t="s">
        <v>0</v>
      </c>
      <c r="E5" s="33"/>
      <c r="F5" s="60"/>
      <c r="G5" s="60"/>
      <c r="H5" s="60"/>
      <c r="I5" s="60"/>
      <c r="J5" s="60"/>
      <c r="K5" s="60"/>
      <c r="L5" s="66"/>
      <c r="M5" s="64"/>
    </row>
    <row r="6" spans="1:15" ht="18.75" x14ac:dyDescent="0.2">
      <c r="A6" s="26"/>
      <c r="B6" s="30"/>
      <c r="C6" s="34" t="s">
        <v>49</v>
      </c>
      <c r="D6" s="35"/>
      <c r="E6" s="36"/>
      <c r="F6" s="60"/>
      <c r="G6" s="60"/>
      <c r="H6" s="60"/>
      <c r="I6" s="60"/>
      <c r="J6" s="60"/>
      <c r="K6" s="60"/>
      <c r="L6" s="66"/>
      <c r="M6" s="64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61"/>
      <c r="G7" s="61"/>
      <c r="H7" s="61"/>
      <c r="I7" s="61"/>
      <c r="J7" s="61"/>
      <c r="K7" s="61"/>
      <c r="L7" s="67"/>
      <c r="M7" s="64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344.67375879228172</v>
      </c>
      <c r="F8" s="68"/>
      <c r="G8" s="68"/>
      <c r="H8" s="69"/>
      <c r="I8" s="70">
        <v>330</v>
      </c>
      <c r="J8" s="71">
        <v>360</v>
      </c>
      <c r="K8" s="71"/>
      <c r="L8" s="10">
        <f>(E8/M8)*100-100</f>
        <v>0</v>
      </c>
      <c r="M8" s="14">
        <v>344.67375879228172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595</v>
      </c>
      <c r="F9" s="72"/>
      <c r="G9" s="72"/>
      <c r="H9" s="73"/>
      <c r="I9" s="70">
        <v>595</v>
      </c>
      <c r="J9" s="74"/>
      <c r="K9" s="74"/>
      <c r="L9" s="10">
        <f t="shared" ref="L9:L38" si="1">(E9/M9)*100-100</f>
        <v>0</v>
      </c>
      <c r="M9" s="14">
        <v>595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72"/>
      <c r="G10" s="72"/>
      <c r="H10" s="73"/>
      <c r="I10" s="70">
        <v>750</v>
      </c>
      <c r="J10" s="74"/>
      <c r="K10" s="74"/>
      <c r="L10" s="55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270.2949508652344</v>
      </c>
      <c r="F11" s="72">
        <v>320</v>
      </c>
      <c r="G11" s="72">
        <f>(199.99+239.99)/2</f>
        <v>219.99</v>
      </c>
      <c r="H11" s="72">
        <f>(350+320)/2</f>
        <v>335</v>
      </c>
      <c r="I11" s="70">
        <v>350</v>
      </c>
      <c r="J11" s="74">
        <f>(189.99+229.99)/2</f>
        <v>209.99</v>
      </c>
      <c r="K11" s="74">
        <f>(249.99+199.99)/2</f>
        <v>224.99</v>
      </c>
      <c r="L11" s="55">
        <f t="shared" si="1"/>
        <v>0</v>
      </c>
      <c r="M11" s="14">
        <v>270.2949508652344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229.48540172529738</v>
      </c>
      <c r="F12" s="72">
        <v>250</v>
      </c>
      <c r="G12" s="72">
        <f>(114.99/0.8+239)/2</f>
        <v>191.36874999999998</v>
      </c>
      <c r="H12" s="72">
        <v>250</v>
      </c>
      <c r="I12" s="70">
        <v>295</v>
      </c>
      <c r="J12" s="74">
        <f>(219.99+239.99)/2</f>
        <v>229.99</v>
      </c>
      <c r="K12" s="74">
        <f>(169.99+189.99)/2</f>
        <v>179.99</v>
      </c>
      <c r="L12" s="55">
        <f t="shared" si="1"/>
        <v>0</v>
      </c>
      <c r="M12" s="14">
        <v>229.48540172529738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1059.9513457718926</v>
      </c>
      <c r="F13" s="72">
        <f>(250/0.18+700)/2</f>
        <v>1044.4444444444443</v>
      </c>
      <c r="G13" s="75">
        <f>(149.99/0.18+199.99/0.16+219.99/0.18+239.99/0.18)/4</f>
        <v>1159.6649305555557</v>
      </c>
      <c r="H13" s="72">
        <f>(250/0.2+700)/2</f>
        <v>975</v>
      </c>
      <c r="I13" s="70"/>
      <c r="J13" s="74">
        <f>(149.99/0.18+189.99/0.18+219.99/0.18)/3</f>
        <v>1036.9814814814815</v>
      </c>
      <c r="K13" s="74">
        <f>(139.99/0.18+199.99/0.18+249.99/0.18)/3</f>
        <v>1092.5370370370372</v>
      </c>
      <c r="L13" s="55">
        <f>(E13/M13)*100-100</f>
        <v>0</v>
      </c>
      <c r="M13" s="14">
        <v>1059.9513457718926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140.61987528930791</v>
      </c>
      <c r="F14" s="72">
        <v>140</v>
      </c>
      <c r="G14" s="72">
        <f>(139.99+153.99+129.99+144.99)/4</f>
        <v>142.24</v>
      </c>
      <c r="H14" s="72">
        <f>170</f>
        <v>170</v>
      </c>
      <c r="I14" s="70"/>
      <c r="J14" s="74">
        <f>(99.99+129.9+139.9+149.99)/4</f>
        <v>129.94499999999999</v>
      </c>
      <c r="K14" s="72">
        <f>(109.99+134.99+109.99+144.99)/4</f>
        <v>124.99000000000001</v>
      </c>
      <c r="L14" s="55">
        <f t="shared" si="1"/>
        <v>0.27154284842289655</v>
      </c>
      <c r="M14" s="14">
        <v>140.23906613452453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102.80705800678773</v>
      </c>
      <c r="F15" s="72">
        <f>90/0.9</f>
        <v>100</v>
      </c>
      <c r="G15" s="72">
        <f>(83.99/0.9+77.99/0.9+98.99/0.9+104.99/0.9+169.99/1.4)/5</f>
        <v>105.60873015873017</v>
      </c>
      <c r="H15" s="72">
        <f>(90/0.9+100/0.9)/2</f>
        <v>105.55555555555556</v>
      </c>
      <c r="I15" s="70"/>
      <c r="J15" s="74">
        <f>(104.99/0.9+99.99/0.93+219.99/2)/3</f>
        <v>111.38889486260454</v>
      </c>
      <c r="K15" s="74">
        <f>(72.99/0.8+79.99/0.8+174.99/2+72.99/0.8)/4</f>
        <v>92.489374999999995</v>
      </c>
      <c r="L15" s="55">
        <f t="shared" si="1"/>
        <v>0</v>
      </c>
      <c r="M15" s="14">
        <v>102.80705800678773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101.32046483274367</v>
      </c>
      <c r="F16" s="72">
        <v>95</v>
      </c>
      <c r="G16" s="72">
        <f>(80.99/0.9+114.99/0.95)/2</f>
        <v>105.51549707602339</v>
      </c>
      <c r="H16" s="72">
        <f>(90/0.9+115/0.95+100)/3</f>
        <v>107.01754385964914</v>
      </c>
      <c r="I16" s="70"/>
      <c r="J16" s="74">
        <f>(94.99/0.9+104.99/0.9+219.99/2)/3</f>
        <v>110.73166666666667</v>
      </c>
      <c r="K16" s="74">
        <f>(99.99/0.95+79.99/0.9+67.99/0.9)/3</f>
        <v>89.891617933723182</v>
      </c>
      <c r="L16" s="55">
        <f t="shared" si="1"/>
        <v>0</v>
      </c>
      <c r="M16" s="14">
        <v>101.32046483274367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100.71437036864154</v>
      </c>
      <c r="F17" s="76">
        <f>100/0.9</f>
        <v>111.11111111111111</v>
      </c>
      <c r="G17" s="76">
        <f>(55.99/0.5+72.99/0.9+109.99/0.9)/3</f>
        <v>105.09703703703703</v>
      </c>
      <c r="H17" s="76">
        <f>95/0.9</f>
        <v>105.55555555555556</v>
      </c>
      <c r="I17" s="12"/>
      <c r="J17" s="76">
        <f>(77.99/0.9+65.49/0.9+38.99/0.4+42.99/0.4)/4</f>
        <v>91.093055555555566</v>
      </c>
      <c r="K17" s="76">
        <f>(79.99/0.95+54.99/0.5+44.99/0.5+84.99)/4</f>
        <v>92.287500000000009</v>
      </c>
      <c r="L17" s="55">
        <f t="shared" si="1"/>
        <v>0</v>
      </c>
      <c r="M17" s="14">
        <v>100.71437036864154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270.62464034364598</v>
      </c>
      <c r="F18" s="76">
        <f>(85/0.4+120/0.4+125/0.5)/3</f>
        <v>254.16666666666666</v>
      </c>
      <c r="G18" s="76">
        <f>(72.99/0.3+79.99/0.3+95.99/0.5+139.99/0.5+159.99/0.5)/5</f>
        <v>260.37466666666671</v>
      </c>
      <c r="H18" s="76">
        <f>(140/0.47+160/0.5)/2</f>
        <v>308.936170212766</v>
      </c>
      <c r="I18" s="12"/>
      <c r="J18" s="76">
        <f>(139.99/0.5+81.99/0.3)/2</f>
        <v>276.64</v>
      </c>
      <c r="K18" s="76">
        <f>(119.99/0.5+129.99/0.5+134.99/0.5)/3</f>
        <v>256.6466666666667</v>
      </c>
      <c r="L18" s="55">
        <f t="shared" si="1"/>
        <v>0</v>
      </c>
      <c r="M18" s="52">
        <v>270.62464034364598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421.57718248955359</v>
      </c>
      <c r="F19" s="76">
        <f>(215/0.5+160/0.4+195/0.4)/3</f>
        <v>439.16666666666669</v>
      </c>
      <c r="G19" s="76">
        <f>(79.99/0.18+95.19/0.3+99.99/0.3+149.99/0.38+119.99/0.3)/5</f>
        <v>377.93321637426897</v>
      </c>
      <c r="H19" s="76">
        <f>(215/0.5+200/0.5)/2</f>
        <v>415</v>
      </c>
      <c r="I19" s="12"/>
      <c r="J19" s="76">
        <f>(82.99/0.2+98/0.2+134.99/0.3+149.99/0.3+169.99/0.38)/5</f>
        <v>460.44508771929821</v>
      </c>
      <c r="K19" s="76">
        <f>(139.99/0.32+129.99/0.38+149.99/0.3+119.99/0.3)/4</f>
        <v>419.87025767543861</v>
      </c>
      <c r="L19" s="55">
        <f t="shared" si="1"/>
        <v>0</v>
      </c>
      <c r="M19" s="52">
        <v>421.57718248955359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129.91472559152589</v>
      </c>
      <c r="F20" s="72">
        <v>165</v>
      </c>
      <c r="G20" s="72">
        <f>(119.99+109.99+129.99)/3</f>
        <v>119.99000000000001</v>
      </c>
      <c r="H20" s="72">
        <f>(140+220/1.5)/2</f>
        <v>143.33333333333331</v>
      </c>
      <c r="I20" s="70"/>
      <c r="J20" s="74">
        <f>(81.99+119.99+110.99+129.99+104.99+109.99+149.99)/7</f>
        <v>115.41857142857143</v>
      </c>
      <c r="K20" s="74">
        <f>(99.99+119.99+109.99+104.99+129.99)/5</f>
        <v>112.99000000000001</v>
      </c>
      <c r="L20" s="55">
        <f t="shared" si="1"/>
        <v>7.4756808031196442E-2</v>
      </c>
      <c r="M20" s="52">
        <v>129.81767803916361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78.324393954462607</v>
      </c>
      <c r="F21" s="72">
        <v>90</v>
      </c>
      <c r="G21" s="72">
        <f>(349.99/5+69.99)/2</f>
        <v>69.994</v>
      </c>
      <c r="H21" s="72">
        <v>90</v>
      </c>
      <c r="I21" s="70"/>
      <c r="J21" s="74">
        <f>(69.99+347.99/5)/2</f>
        <v>69.793999999999997</v>
      </c>
      <c r="K21" s="74">
        <f>(74.99+369.99/5)/2</f>
        <v>74.494</v>
      </c>
      <c r="L21" s="55">
        <f t="shared" si="1"/>
        <v>0</v>
      </c>
      <c r="M21" s="52">
        <v>78.324393954462607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984.28662377705461</v>
      </c>
      <c r="F22" s="72">
        <f>140/0.1</f>
        <v>1400</v>
      </c>
      <c r="G22" s="72">
        <f>(24.89/0.1+139.99/0.25+171/0.1+122.99/0.1)/4</f>
        <v>937.19</v>
      </c>
      <c r="H22" s="72">
        <f>250/0.2</f>
        <v>1250</v>
      </c>
      <c r="I22" s="70"/>
      <c r="J22" s="74">
        <f>(29.99/0.1+179.99/0.25+149.99/0.25)/3</f>
        <v>539.94000000000005</v>
      </c>
      <c r="K22" s="74">
        <f>(89.99/0.1+219.99/0.25+269.99/0.2)/3</f>
        <v>1043.27</v>
      </c>
      <c r="L22" s="55">
        <f t="shared" si="1"/>
        <v>-3.4301099731237628E-4</v>
      </c>
      <c r="M22" s="52">
        <v>984.29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72">
        <v>35</v>
      </c>
      <c r="G23" s="72">
        <v>18.989999999999998</v>
      </c>
      <c r="H23" s="72">
        <v>25</v>
      </c>
      <c r="I23" s="70"/>
      <c r="J23" s="74">
        <f>(13.99+22.99)/2</f>
        <v>18.489999999999998</v>
      </c>
      <c r="K23" s="74">
        <f>18.99</f>
        <v>18.989999999999998</v>
      </c>
      <c r="L23" s="10">
        <f t="shared" si="1"/>
        <v>0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54.478259422961969</v>
      </c>
      <c r="F24" s="72">
        <f>(110/2+140/2)/2</f>
        <v>62.5</v>
      </c>
      <c r="G24" s="72">
        <f>(56.99/2+116.99/2+129.99/2+99/2)/4</f>
        <v>50.371250000000003</v>
      </c>
      <c r="H24" s="72">
        <f>(110+130)/4</f>
        <v>60</v>
      </c>
      <c r="I24" s="70"/>
      <c r="J24" s="74">
        <f>(59.99/2+119.99/2+119.9/2)/3</f>
        <v>49.98</v>
      </c>
      <c r="K24" s="74">
        <f>(74.99/2+129.99/2+99.99/2)/3</f>
        <v>50.82833333333334</v>
      </c>
      <c r="L24" s="10">
        <f t="shared" si="1"/>
        <v>0</v>
      </c>
      <c r="M24" s="52">
        <v>54.478259422961969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98.068094477537741</v>
      </c>
      <c r="F25" s="72">
        <v>92</v>
      </c>
      <c r="G25" s="72">
        <f>(49.99/0.5+54.99/0.5+65.99/0.6)/3</f>
        <v>106.64777777777778</v>
      </c>
      <c r="H25" s="72">
        <f>50/0.5</f>
        <v>100</v>
      </c>
      <c r="I25" s="70"/>
      <c r="J25" s="74">
        <f>(46.99/0.5+49.99/0.5+57.99/0.6)/3</f>
        <v>96.87</v>
      </c>
      <c r="K25" s="72">
        <f>(49.99/0.5+49.99/0.55)/2</f>
        <v>95.435454545454547</v>
      </c>
      <c r="L25" s="10">
        <f t="shared" si="1"/>
        <v>0</v>
      </c>
      <c r="M25" s="52">
        <v>98.068094477537741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97.257872399563396</v>
      </c>
      <c r="F26" s="72">
        <v>92</v>
      </c>
      <c r="G26" s="72">
        <f>(54.99/0.5+45.99/0.5+62.99/0.6)/3</f>
        <v>102.31444444444445</v>
      </c>
      <c r="H26" s="72">
        <f>50/0.5</f>
        <v>100</v>
      </c>
      <c r="I26" s="70"/>
      <c r="J26" s="74">
        <f>(46.99/0.5+49.99/0.5+57.99/0.6)/3</f>
        <v>96.87</v>
      </c>
      <c r="K26" s="72">
        <f>(49.99/0.5+49.99/0.55)/2</f>
        <v>95.435454545454547</v>
      </c>
      <c r="L26" s="10">
        <f t="shared" si="1"/>
        <v>-2.1875390053622823E-3</v>
      </c>
      <c r="M26" s="52">
        <v>97.26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97.131629355732713</v>
      </c>
      <c r="F27" s="76">
        <f>60/0.8</f>
        <v>75</v>
      </c>
      <c r="G27" s="76">
        <f>(37.99/0.8+102.99/0.8)/2</f>
        <v>88.112499999999983</v>
      </c>
      <c r="H27" s="76">
        <f>100/0.9</f>
        <v>111.11111111111111</v>
      </c>
      <c r="I27" s="77"/>
      <c r="J27" s="76">
        <f>(39.99/0.8+59.99+112.99/0.9)/3</f>
        <v>78.507314814814819</v>
      </c>
      <c r="K27" s="76">
        <f>(39.99/0.8+99.99/0.4)/2</f>
        <v>149.98124999999999</v>
      </c>
      <c r="L27" s="10">
        <f t="shared" si="1"/>
        <v>0</v>
      </c>
      <c r="M27" s="52">
        <v>97.131629355732713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135.35219390750214</v>
      </c>
      <c r="F28" s="72">
        <f>(200/1.5+140/0.9)/2</f>
        <v>144.44444444444446</v>
      </c>
      <c r="G28" s="72">
        <f>(99.99/0.8+89.99/0.8+119.99/0.8)/3</f>
        <v>129.15416666666667</v>
      </c>
      <c r="H28" s="72">
        <f>(160/0.8+220/1.5)/2</f>
        <v>173.33333333333331</v>
      </c>
      <c r="I28" s="70"/>
      <c r="J28" s="74">
        <f>(66.99/0.8+99.99/0.9+119.99/0.9)/3</f>
        <v>109.38657407407406</v>
      </c>
      <c r="K28" s="74">
        <f>(84.9/0.8+119.9/0.8+109.9/0.85)/3</f>
        <v>128.43137254901961</v>
      </c>
      <c r="L28" s="10">
        <f t="shared" si="1"/>
        <v>0</v>
      </c>
      <c r="M28" s="52">
        <v>135.35219390750214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79.081071123297306</v>
      </c>
      <c r="F29" s="75">
        <f>90/0.9</f>
        <v>100</v>
      </c>
      <c r="G29" s="75">
        <f>41.79/0.8</f>
        <v>52.237499999999997</v>
      </c>
      <c r="H29" s="75">
        <f>100/0.8</f>
        <v>125</v>
      </c>
      <c r="I29" s="70"/>
      <c r="J29" s="74">
        <f>(39.49/0.8+76.99)/2</f>
        <v>63.176249999999996</v>
      </c>
      <c r="K29" s="74">
        <f>59.98/0.8</f>
        <v>74.974999999999994</v>
      </c>
      <c r="L29" s="10">
        <f t="shared" si="1"/>
        <v>0</v>
      </c>
      <c r="M29" s="53">
        <v>79.081071123297306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79.305177348509858</v>
      </c>
      <c r="F30" s="76">
        <f>80/0.8</f>
        <v>100</v>
      </c>
      <c r="G30" s="76">
        <f>(37.99/0.8+79.99/0.7)/2</f>
        <v>80.879464285714278</v>
      </c>
      <c r="H30" s="76">
        <f>100/0.9</f>
        <v>111.11111111111111</v>
      </c>
      <c r="I30" s="77"/>
      <c r="J30" s="76">
        <f>36.99/0.7</f>
        <v>52.842857142857149</v>
      </c>
      <c r="K30" s="76">
        <f>(59.99/0.8+39.99/0.7)/2</f>
        <v>66.058035714285722</v>
      </c>
      <c r="L30" s="10">
        <f t="shared" si="1"/>
        <v>0</v>
      </c>
      <c r="M30" s="53">
        <v>79.305177348509858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104.42365509837208</v>
      </c>
      <c r="F31" s="75">
        <f>120/0.9</f>
        <v>133.33333333333334</v>
      </c>
      <c r="G31" s="75">
        <f>(33.99/0.8+84.99/0.8+122.99/0.9)/3</f>
        <v>95.126851851851825</v>
      </c>
      <c r="H31" s="75">
        <f>(115/0.8+80)/2</f>
        <v>111.875</v>
      </c>
      <c r="I31" s="70"/>
      <c r="J31" s="74">
        <f>(30.49/0.8+77.49/0.8+119.99/0.9+94.99/0.9)/4</f>
        <v>93.46041666666666</v>
      </c>
      <c r="K31" s="75">
        <f>(42.9/0.8+81.9/0.8+99.9/0.8)/3</f>
        <v>93.625</v>
      </c>
      <c r="L31" s="10">
        <f t="shared" si="1"/>
        <v>0</v>
      </c>
      <c r="M31" s="53">
        <v>104.42365509837208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72.282177595591506</v>
      </c>
      <c r="F32" s="78"/>
      <c r="G32" s="76">
        <f>(20/0.4+59.99/0.8)/2</f>
        <v>62.493749999999999</v>
      </c>
      <c r="H32" s="76">
        <f>80/0.8</f>
        <v>100</v>
      </c>
      <c r="I32" s="12"/>
      <c r="J32" s="76">
        <f>(19.99/0.4+59.99/0.9)/2</f>
        <v>58.315277777777773</v>
      </c>
      <c r="K32" s="76">
        <f>(32.9/0.4+36.99/0.4+39.99/0.8)/3</f>
        <v>74.904166666666654</v>
      </c>
      <c r="L32" s="55">
        <f t="shared" si="1"/>
        <v>0</v>
      </c>
      <c r="M32" s="53">
        <v>72.282177595591506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76">
        <f>85/0.6</f>
        <v>141.66666666666669</v>
      </c>
      <c r="G33" s="76">
        <f>30.99/0.8</f>
        <v>38.737499999999997</v>
      </c>
      <c r="H33" s="76">
        <f>80/0.65</f>
        <v>123.07692307692307</v>
      </c>
      <c r="I33" s="12"/>
      <c r="J33" s="76">
        <f>22.99/0.6</f>
        <v>38.316666666666663</v>
      </c>
      <c r="K33" s="76">
        <f>34.99/0.7</f>
        <v>49.985714285714295</v>
      </c>
      <c r="L33" s="55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98.152002931497236</v>
      </c>
      <c r="F34" s="75">
        <f>90</f>
        <v>90</v>
      </c>
      <c r="G34" s="75">
        <f>(54.99/0.45+20.99/0.4+42.99/0.4)/3</f>
        <v>94.05</v>
      </c>
      <c r="H34" s="75">
        <f>75/0.45</f>
        <v>166.66666666666666</v>
      </c>
      <c r="I34" s="70"/>
      <c r="J34" s="74">
        <f>(22.99/0.4+39.99/0.4+55.99/0.45)/3</f>
        <v>93.957407407407402</v>
      </c>
      <c r="K34" s="74">
        <f>(19.99/0.4+34.99/0.4)/2</f>
        <v>68.724999999999994</v>
      </c>
      <c r="L34" s="55">
        <f t="shared" si="1"/>
        <v>0.17833549042585162</v>
      </c>
      <c r="M34" s="53">
        <v>97.977274678193993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98.810971746909331</v>
      </c>
      <c r="F35" s="76">
        <f>80/0.4</f>
        <v>200</v>
      </c>
      <c r="G35" s="76">
        <f>22.99/0.4</f>
        <v>57.474999999999994</v>
      </c>
      <c r="H35" s="76">
        <f>80/0.8</f>
        <v>100</v>
      </c>
      <c r="I35" s="77"/>
      <c r="J35" s="76">
        <f>(20.99/0.4+39.99/0.4+48.99/0.45)/3</f>
        <v>87.105555555555554</v>
      </c>
      <c r="K35" s="76">
        <f>(34.99/0.4+39.99/0.45+19.99/0.45+69.99/0.45)/4</f>
        <v>94.074305555555554</v>
      </c>
      <c r="L35" s="55">
        <f t="shared" si="1"/>
        <v>0</v>
      </c>
      <c r="M35" s="53">
        <v>98.810971746909331</v>
      </c>
      <c r="N35" s="57"/>
      <c r="O35" s="58"/>
      <c r="P35" s="58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63.265787634876261</v>
      </c>
      <c r="F36" s="75">
        <v>70</v>
      </c>
      <c r="G36" s="75">
        <v>64.989999999999995</v>
      </c>
      <c r="H36" s="75">
        <v>65</v>
      </c>
      <c r="I36" s="70"/>
      <c r="J36" s="74">
        <f>(40.49+64.99)/2</f>
        <v>52.739999999999995</v>
      </c>
      <c r="K36" s="74">
        <v>64.989999999999995</v>
      </c>
      <c r="L36" s="55">
        <f t="shared" si="1"/>
        <v>-6.6577605875437484E-3</v>
      </c>
      <c r="M36" s="53">
        <v>63.27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63.379039123547706</v>
      </c>
      <c r="F37" s="75">
        <v>65</v>
      </c>
      <c r="G37" s="75">
        <v>56.99</v>
      </c>
      <c r="H37" s="75">
        <v>85</v>
      </c>
      <c r="I37" s="70"/>
      <c r="J37" s="74">
        <v>56.99</v>
      </c>
      <c r="K37" s="74">
        <v>56.99</v>
      </c>
      <c r="L37" s="55">
        <f t="shared" si="1"/>
        <v>-1.5160562516456366E-3</v>
      </c>
      <c r="M37" s="53">
        <v>63.38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49.993999759977598</v>
      </c>
      <c r="F38" s="75">
        <f>(40+60)/2</f>
        <v>50</v>
      </c>
      <c r="G38" s="75">
        <f>49.99</f>
        <v>49.99</v>
      </c>
      <c r="H38" s="75">
        <v>50</v>
      </c>
      <c r="I38" s="70"/>
      <c r="J38" s="74">
        <v>49.99</v>
      </c>
      <c r="K38" s="74">
        <v>49.99</v>
      </c>
      <c r="L38" s="55">
        <f t="shared" si="1"/>
        <v>8.00112017923027E-3</v>
      </c>
      <c r="M38" s="53">
        <v>49.99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51.538932178784577</v>
      </c>
      <c r="F39" s="75">
        <v>60</v>
      </c>
      <c r="G39" s="75">
        <v>37.99</v>
      </c>
      <c r="H39" s="75">
        <v>60</v>
      </c>
      <c r="I39" s="70"/>
      <c r="J39" s="74">
        <v>37.99</v>
      </c>
      <c r="K39" s="74">
        <v>69.989999999999995</v>
      </c>
      <c r="L39" s="55">
        <f>(E39/M39)*100-100</f>
        <v>-2.0718300648354671E-3</v>
      </c>
      <c r="M39" s="53">
        <v>51.54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177.35041818821409</v>
      </c>
      <c r="F40" s="79">
        <v>230</v>
      </c>
      <c r="G40" s="79">
        <f>(99.99+129.99+154.99+159.99+169.99)/5</f>
        <v>142.99</v>
      </c>
      <c r="H40" s="79">
        <v>230</v>
      </c>
      <c r="I40" s="80"/>
      <c r="J40" s="81">
        <f>(108.99+139.99+199.99)/3</f>
        <v>149.65666666666667</v>
      </c>
      <c r="K40" s="81">
        <f>(139.99+169.99)/2</f>
        <v>154.99</v>
      </c>
      <c r="L40" s="56">
        <f>(E40/M40)*100-100</f>
        <v>2.3579825997899206E-4</v>
      </c>
      <c r="M40" s="54">
        <v>177.35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2025-03-28T04:52:35Z</cp:lastPrinted>
  <dcterms:created xsi:type="dcterms:W3CDTF">2007-04-16T07:34:00Z</dcterms:created>
  <dcterms:modified xsi:type="dcterms:W3CDTF">2025-04-11T06:05:09Z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