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3\Sport\ОТЧЕТЫ\2024\экономика\отчет по программе\4 кв 2024\"/>
    </mc:Choice>
  </mc:AlternateContent>
  <bookViews>
    <workbookView xWindow="0" yWindow="0" windowWidth="28800" windowHeight="11835"/>
  </bookViews>
  <sheets>
    <sheet name="на 31.12.2024" sheetId="24" r:id="rId1"/>
    <sheet name="с УКС" sheetId="21" state="hidden" r:id="rId2"/>
  </sheets>
  <definedNames>
    <definedName name="_xlnm.Print_Area" localSheetId="0">'на 31.12.2024'!$A$1:$I$58</definedName>
    <definedName name="_xlnm.Print_Area" localSheetId="1">'с УКС'!$A$1:$H$47</definedName>
  </definedNames>
  <calcPr calcId="152511" iterate="1"/>
</workbook>
</file>

<file path=xl/calcChain.xml><?xml version="1.0" encoding="utf-8"?>
<calcChain xmlns="http://schemas.openxmlformats.org/spreadsheetml/2006/main">
  <c r="E38" i="24" l="1"/>
  <c r="D38" i="24"/>
  <c r="E33" i="24"/>
  <c r="E29" i="24"/>
  <c r="D33" i="24"/>
  <c r="D29" i="24"/>
  <c r="E19" i="24"/>
  <c r="D19" i="24"/>
  <c r="E12" i="24"/>
  <c r="D12" i="24"/>
  <c r="E7" i="24"/>
  <c r="D7" i="24"/>
  <c r="D24" i="24"/>
  <c r="D14" i="24"/>
  <c r="D16" i="24"/>
  <c r="D21" i="24"/>
  <c r="G9" i="24" l="1"/>
  <c r="G38" i="24"/>
  <c r="F38" i="24"/>
  <c r="G29" i="24"/>
  <c r="F29" i="24"/>
  <c r="G28" i="24"/>
  <c r="G18" i="24"/>
  <c r="G19" i="24"/>
  <c r="F19" i="24"/>
  <c r="G10" i="24"/>
  <c r="G11" i="24"/>
  <c r="F12" i="24"/>
  <c r="G12" i="24" s="1"/>
  <c r="G6" i="24"/>
  <c r="G39" i="24" l="1"/>
  <c r="G37" i="24"/>
  <c r="G35" i="24"/>
  <c r="G36" i="24"/>
  <c r="G34" i="24"/>
  <c r="G26" i="24"/>
  <c r="G25" i="24"/>
  <c r="G24" i="24"/>
  <c r="G23" i="24"/>
  <c r="G22" i="24"/>
  <c r="G20" i="24"/>
  <c r="G17" i="24"/>
  <c r="G15" i="24"/>
  <c r="G13" i="24"/>
  <c r="G45" i="24" l="1"/>
  <c r="G44" i="24"/>
  <c r="G43" i="24"/>
  <c r="G42" i="24"/>
  <c r="G41" i="24"/>
  <c r="G33" i="24"/>
  <c r="G32" i="24"/>
  <c r="G31" i="24"/>
  <c r="G30" i="24"/>
  <c r="G27" i="24"/>
  <c r="G8" i="24"/>
  <c r="G4" i="24"/>
  <c r="G5" i="24"/>
  <c r="D6" i="24" l="1"/>
  <c r="F6" i="24"/>
  <c r="D35" i="24"/>
  <c r="E27" i="24"/>
  <c r="D40" i="24" l="1"/>
  <c r="D43" i="24"/>
  <c r="D45" i="24"/>
  <c r="D9" i="24"/>
  <c r="D10" i="24"/>
  <c r="D11" i="24"/>
  <c r="E3" i="24"/>
  <c r="D5" i="24" l="1"/>
  <c r="D4" i="24"/>
  <c r="D3" i="24" l="1"/>
  <c r="G40" i="24" l="1"/>
  <c r="G21" i="24"/>
  <c r="G16" i="24"/>
  <c r="F11" i="24" l="1"/>
  <c r="F10" i="24"/>
  <c r="F9" i="24"/>
  <c r="E10" i="24"/>
  <c r="E9" i="24"/>
  <c r="E30" i="24"/>
  <c r="E25" i="24" s="1"/>
  <c r="E11" i="24"/>
  <c r="F45" i="24" l="1"/>
  <c r="E45" i="24"/>
  <c r="F43" i="24"/>
  <c r="F40" i="24"/>
  <c r="E40" i="24"/>
  <c r="F35" i="24"/>
  <c r="E35" i="24"/>
  <c r="F24" i="24"/>
  <c r="E24" i="24"/>
  <c r="F21" i="24"/>
  <c r="E21" i="24"/>
  <c r="F16" i="24"/>
  <c r="E16" i="24"/>
  <c r="F14" i="24"/>
  <c r="G14" i="24" s="1"/>
  <c r="E14" i="24"/>
  <c r="E42" i="24" l="1"/>
  <c r="E41" i="24"/>
  <c r="F32" i="24"/>
  <c r="E32" i="24"/>
  <c r="E5" i="24" s="1"/>
  <c r="F31" i="24"/>
  <c r="E31" i="24"/>
  <c r="F30" i="24"/>
  <c r="F28" i="24"/>
  <c r="E43" i="24" l="1"/>
  <c r="F33" i="24"/>
  <c r="E26" i="24"/>
  <c r="E4" i="24" s="1"/>
  <c r="J7" i="24" s="1"/>
  <c r="F27" i="24"/>
  <c r="F5" i="24" s="1"/>
  <c r="F26" i="24"/>
  <c r="F25" i="24"/>
  <c r="F4" i="24" l="1"/>
  <c r="F3" i="24"/>
  <c r="F41" i="21"/>
  <c r="F42" i="21"/>
  <c r="F43" i="21"/>
  <c r="F44" i="21"/>
  <c r="F45" i="21"/>
  <c r="F46" i="21"/>
  <c r="F47" i="21"/>
  <c r="F7" i="24" l="1"/>
  <c r="G7" i="24" s="1"/>
  <c r="G3" i="24"/>
  <c r="K7" i="24"/>
  <c r="L7" i="24" s="1"/>
  <c r="D23" i="21"/>
  <c r="D22" i="21"/>
  <c r="D3" i="21" s="1"/>
  <c r="D8" i="21"/>
  <c r="D4" i="21" s="1"/>
  <c r="E8" i="21"/>
  <c r="E38" i="21"/>
  <c r="D38" i="21"/>
  <c r="E35" i="21"/>
  <c r="D35" i="21"/>
  <c r="E33" i="21"/>
  <c r="D33" i="21"/>
  <c r="E31" i="21"/>
  <c r="D31" i="21"/>
  <c r="E23" i="21"/>
  <c r="E22" i="21"/>
  <c r="E3" i="21" s="1"/>
  <c r="F3" i="21" s="1"/>
  <c r="E39" i="21"/>
  <c r="E24" i="21" s="1"/>
  <c r="D39" i="21"/>
  <c r="E20" i="21"/>
  <c r="E21" i="21" s="1"/>
  <c r="D20" i="21"/>
  <c r="D21" i="21" s="1"/>
  <c r="E18" i="21"/>
  <c r="D18" i="21"/>
  <c r="E16" i="21"/>
  <c r="D16" i="21"/>
  <c r="E14" i="21"/>
  <c r="D14" i="21"/>
  <c r="F37" i="21"/>
  <c r="F36" i="21"/>
  <c r="F34" i="21"/>
  <c r="F32" i="21"/>
  <c r="F30" i="21"/>
  <c r="F19" i="21"/>
  <c r="F17" i="21"/>
  <c r="F15" i="21"/>
  <c r="F13" i="21"/>
  <c r="F11" i="21"/>
  <c r="F27" i="21"/>
  <c r="F28" i="21"/>
  <c r="F26" i="21"/>
  <c r="E29" i="21"/>
  <c r="D29" i="21"/>
  <c r="F18" i="21" l="1"/>
  <c r="F8" i="21"/>
  <c r="F31" i="21"/>
  <c r="E4" i="21"/>
  <c r="F4" i="21" s="1"/>
  <c r="F35" i="21"/>
  <c r="F38" i="21"/>
  <c r="E9" i="21"/>
  <c r="E5" i="21" s="1"/>
  <c r="E6" i="21" s="1"/>
  <c r="D9" i="21"/>
  <c r="D10" i="21" s="1"/>
  <c r="F16" i="21"/>
  <c r="D24" i="21"/>
  <c r="F24" i="21" s="1"/>
  <c r="F33" i="21"/>
  <c r="D40" i="21"/>
  <c r="F22" i="21"/>
  <c r="E40" i="21"/>
  <c r="F39" i="21"/>
  <c r="F23" i="21"/>
  <c r="D25" i="21"/>
  <c r="E25" i="21"/>
  <c r="F21" i="21"/>
  <c r="F29" i="21"/>
  <c r="F14" i="21"/>
  <c r="F20" i="21"/>
  <c r="E10" i="21" l="1"/>
  <c r="F10" i="21" s="1"/>
  <c r="F9" i="21"/>
  <c r="D5" i="21"/>
  <c r="D6" i="21" s="1"/>
  <c r="F5" i="21"/>
  <c r="F40" i="21"/>
  <c r="F25" i="21"/>
  <c r="F6" i="21" l="1"/>
</calcChain>
</file>

<file path=xl/sharedStrings.xml><?xml version="1.0" encoding="utf-8"?>
<sst xmlns="http://schemas.openxmlformats.org/spreadsheetml/2006/main" count="247" uniqueCount="74">
  <si>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</si>
  <si>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</si>
  <si>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</si>
  <si>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</si>
  <si>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</si>
  <si>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</si>
  <si>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</si>
  <si>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</si>
  <si>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</si>
  <si>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</si>
  <si>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</si>
  <si>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Достижение основных целевых показателей
план/факт</t>
  </si>
  <si>
    <t>1.1.</t>
  </si>
  <si>
    <t>на 1 ноября 2024 года</t>
  </si>
  <si>
    <t>Наименование муниципальной программы, структурного элемента, комплекса процессных мероприятий, регионального проекта</t>
  </si>
  <si>
    <t xml:space="preserve">Муниципальная программа "Развитие физической  культуры и спорта в городе Пыть-Яхе"
</t>
  </si>
  <si>
    <t xml:space="preserve"> Региональный проект «Спорт - норма жизни» (всего), в том числе:</t>
  </si>
  <si>
    <t>Направление (подпрограмма): 
 «Развитие физической культуры, массового и детско-юношеского спорта» (всего), в том числе:</t>
  </si>
  <si>
    <t>Комплекс процессных мероприятий «Организация, проведение и обеспечение участия в официальных физкультурных (физкультурно-оздоровительных) мероприятиях» (всего), в том числе:</t>
  </si>
  <si>
    <t>1.2.</t>
  </si>
  <si>
    <t>Комплекс процессных мероприятий «Создание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сооружений» (всего), в том числе:</t>
  </si>
  <si>
    <t>1.3.</t>
  </si>
  <si>
    <t>Комплекс процессных мероприятий «Обеспечение комплексной безопасности, в том числе антитеррористической безопасности муниципальных объектов спорта» (всего), в том числе:</t>
  </si>
  <si>
    <t>1.4.</t>
  </si>
  <si>
    <t>1.5.</t>
  </si>
  <si>
    <t>Комплекс процессных мероприятий «Укрепление материально-технической базы учреждений спорта. Развитие сети спортивных объектов шаговой доступности» (всего), в том числе</t>
  </si>
  <si>
    <t>Направление (подпрограмма): 
 «Развитие спорта высших достижений и системы подготовки спортивного резерва» (всего), в том числе:</t>
  </si>
  <si>
    <t>2.</t>
  </si>
  <si>
    <t>Региональный проект «Спорт - норма жизни» (всего), в том числе:</t>
  </si>
  <si>
    <t>2.1.</t>
  </si>
  <si>
    <t>Комплекс процессных мероприятий «Организация, проведение и обеспечение участия в официальных спортивных мероприятиях» (всего), в том числе:</t>
  </si>
  <si>
    <t>2.2.</t>
  </si>
  <si>
    <t>2.3.</t>
  </si>
  <si>
    <t>2.4.</t>
  </si>
  <si>
    <t>2.5.</t>
  </si>
  <si>
    <t>Комплекс процессных мероприятий «Обеспечение физкультурно-спортивных организаций,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соревнованиях» (всего), в том числе:</t>
  </si>
  <si>
    <t>2.6.</t>
  </si>
  <si>
    <t>Комплекс процессных мероприятий «Укрепление материально-технической базы учреждений спорта» (всего), в том числе:</t>
  </si>
  <si>
    <t>3.</t>
  </si>
  <si>
    <t>Направление (подпрограмма) «Поддержка социально-ориентированных некоммерческих организаций» (всего), в том числе:</t>
  </si>
  <si>
    <t>3.1.</t>
  </si>
  <si>
    <t>3.1.  Комплекс процессных мероприятий «Поддержка некоммерческих организаций (за исключением государственных (муниципальных) учреждений), в том числе осуществляющих развитие игровых, приоритетных видов спорта» (всего), в том числе:</t>
  </si>
  <si>
    <t>-</t>
  </si>
  <si>
    <t>Обустройство универсальной спортивной площадки, расположенной по адресу: г. Пыть-Ях, мкр. 2 Нефтяников, территория жилых домов № 3, 4, 5</t>
  </si>
  <si>
    <t>Заключен МК № 0187300019424000196 от 10.10.2024 
Мубарков М.А
Устройство спортивной площадки, расположенной по адресу: г.Пыть-Ях, мкр.9 «Черемушки»;на сумму  6 225 640,69 исполненно</t>
  </si>
  <si>
    <t>Проведено 31 городских физкультурно-оздоровительных и спортивных мероприятия (план 44 мероприятия).
Обеспечено участие в 25 официальных физкультурно-оздоровительных мероприятиях (план 30 мероприятий).</t>
  </si>
  <si>
    <t>Заключены договоры: МАУ «Аквацентр «Дельфин» на оказание услуг физической охраны зданий, МАУ ДО СШ «Олимп» на оказание услуг противопожарной безопасности.</t>
  </si>
  <si>
    <t>С целью обеспечения деятельности МАУ «Аквацентр «Дельфин»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</t>
  </si>
  <si>
    <t>На базе МАУ ДО СШ «Олимп», в рамках Всероссийского физкультурно-спортивного комплекса «Готов к труду и обороне» проведено 7 городских и 3 выездных мероприятия. Также в целях обеспечения деятельности центра тестирования ГТО приобретена наградная продукция, флагштоки и стартовые номера из ткани.</t>
  </si>
  <si>
    <t xml:space="preserve">Заключен договор на устройство хоккейного корта, расположенного по адресу: г.Пыть-Ях, 2а мкр. «Лесников» на сумму7 620 000,00 - исполнение декабрь 2024г.
Заключен договор на устройство спортивной площадки, расположенной по адресу: г.Пыть-Ях, мкр.9 «Черемушки»; на сумму  6 225 640,69 -  исполнение ноябрь 2024
Заключен договор на обустройство универсальной спортивной площадки, расположенной по адресу: г. Пыть-Ях, мкр. 2 Нефтяников, территория жилых домов № 3, 4, 5 - исполнение декабрь 2024 </t>
  </si>
  <si>
    <t xml:space="preserve">На базе МБУ ДО СШОР заключен договор на временное размещение (проживание и питание) 15 человек, во время проведения учебно-тренировочных мероприятий (бокс). </t>
  </si>
  <si>
    <t>В МБУ ДО СШОР проведено 7 городских мероприятий, обеспечено участие спортсменов в 30 выездных мероприятиях, в МБУ ДО СШ проведено 31 городское мероприятие и обеспечено участие спортсменов в 36 выездных мероприятиях.</t>
  </si>
  <si>
    <t>С целью обеспечения деятельности МАУ ДО СШ «Олимп», МБУ ДО СШ и МБУ ДО СШОР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</t>
  </si>
  <si>
    <t>В МАУ ДО СШ «Олимп», МБУ ДО СШОР и МБУ ДО СШ заключены договоры на обеспечение комплексной безопасности объектов.</t>
  </si>
  <si>
    <t xml:space="preserve">Заключены договоры на: медицинское и углубленное медицинское обследование, поставку спортивного инвентаря и экипировки. Воспитанники МБУ ДО СШ приняли участие в 13 выездных мероприятиях. МБУ ДО СШОР обеспечено участие спортсменов в 12 выездных мероприятиях. МАУ ДО СШ «Олимп» приобретена компьютерная техника для шахматного клуба. </t>
  </si>
  <si>
    <t xml:space="preserve">Доля граждан, систематически занимающихся физической культурой и спортом - 65,5% или 97,7% к плану (план 67).
Уровень обеспеченности граждан спортивными сооружениями, исходя из единовременной пропускной способности объектов спорта - 58,3% или 98,8% к плану (план 59)
</t>
  </si>
  <si>
    <t xml:space="preserve">Строительство объекта: "Физкультурно-спортивный комплекс" для единоборств по адресу: г. Пыть-Ях, 10 микрорайон "Мамонтово"; Выполнены работы по разработке проектно-сметной документации на строительство объекта:  произведена закупка автоматизированного рабочего места.   В Департамент физической культуры и спорта ХМАО-Югры направлена заявка на предоставление субсидии  на строительство объекта на финансирование  средств бюджета автономного округа - 314 583,69 тыс.рублей.  По состоянию на  12.11.2024г. - информация от  Депстроительства ХМАО-Югры о включении в государственную программу и выделении софинансирования отсутствуют.           </t>
  </si>
  <si>
    <t>Управление по культуре и спорту: Уточненный план  255 044 765,04 кассовое исполнение 208 153 802,22 Процент исполнения 81,61 %
Управление капитального строительства  Уточненный план 209 540 977,18  Кассовое исполнение 13 914 050,51 Процент исполнения 6,64%</t>
  </si>
  <si>
    <t>на 31 декабря 2024 года</t>
  </si>
  <si>
    <t xml:space="preserve">Доля граждан, систематически занимающихся физической культурой и спортом - 67,1% или 100% к плану (план 67).
Уровень обеспеченности граждан спортивными сооружениями, исходя из единовременной пропускной способности объектов спорта - 58,3% или 98,8% к плану (план 59)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</si>
  <si>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</si>
  <si>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План по программе
(с изменениями)</t>
  </si>
  <si>
    <r>
      <t xml:space="preserve">С целью обеспечения деятельности МАУ «Аквацентр «Дельфин»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 </t>
    </r>
    <r>
      <rPr>
        <sz val="11"/>
        <rFont val="Times New Roman"/>
        <family val="1"/>
        <charset val="204"/>
      </rPr>
      <t>Оказание платных услуг на 31.12.2024г. составило 11 092,1 тыс. руб. (бассейн для п</t>
    </r>
    <r>
      <rPr>
        <sz val="11"/>
        <color theme="1"/>
        <rFont val="Times New Roman"/>
        <family val="1"/>
        <charset val="204"/>
      </rPr>
      <t>лавания, тренажерный зал).</t>
    </r>
  </si>
  <si>
    <t xml:space="preserve">В целях обеспечения комплексной безопасности, в том числе антитеррористической безопасности муниципальных объектов спорта:
- МАУ "Аквацентр "Дельфин" заключили договора на оказание услуг ежемесячной физической охраны зданий в 2024 году;
- МАУ ДО СШ "Олимп" заключены договоры на оказание услуг противопожарной безопасности: перемотка рукавов, зарядка огнетушителей, испытание пожарных рукавов, приобретение плановой эвакуации, огнетушителей, самоспасатели, замена светильников в спортивной зале "Россия".  
</t>
  </si>
  <si>
    <t xml:space="preserve">На 31.12.2024:
- проведено 44 городских физкультурно-оздоровительных и спортивных мероприятия (план 44 мероприятия):
</t>
  </si>
  <si>
    <t>На 31.12.2024:
1) МБУ ДО СШОР: проведено 14 городских спортивных мероприятий, обеспечено участие спортсменов в 55 выездных спортивных мероприятиях.Также воспитанники МБУ ДО СШОР приняли участие учебно-тренировочном мероприятии по вольной борьбе (г. Хасавюрт);
2) МБУ ДО СШ: проведено 44 городских спортивных мероприятия, обеспечено участие спортсменов в 42 выездных спортивных мероприятиях, АФК – 5 мероприятий.</t>
  </si>
  <si>
    <t xml:space="preserve">Строительство объекта: "Физкультурно-спортивный комплекс" для единоборств по адресу: г. Пыть-Ях, 10 микрорайон "Мамонтово"; Выполнены работы по разработке проектно-сметной документации на строительство объекта:  произведена закупка автоматизированного рабочего места.   В Департамент физической культуры и спорта ХМАО-Югры направлена заявка на предоставление субсидии  на строительство объекта на финансирование  средств бюджета автономного округа - 314 583,69 тыс.рублей.  По состоянию на  31.12.2024г. - информация от  Депстроительства ХМАО-Югры о включении в государственную программу и выделении софинансирования отсутствуют.           </t>
  </si>
  <si>
    <t>Исполнение без УКСа</t>
  </si>
  <si>
    <t>На базе МАУ ДО СШ «Олимп», в рамках Всероссийского физкультурно-спортивного комплекса «Готов к труду и обороне» проведено 8 городских и 3 выездных мероприятия. Также в целях обеспечения деятельности центра тестирования ГТО приобретена наградная продукция, флагштоки и стартовые номера из ткани.</t>
  </si>
  <si>
    <r>
      <t>С целью обеспечения деятельности МАУ ДО СШ "Олимп", МБУ ДО СШ и МБУ ДО СШОР проведены расходы в части покрытия обязательств по тепловодоснабжению МУП УГХ, электроэнергии ТЭК, техническому облуживанию электрооборудовании, вывозу ЖБО, услугам связи, прочим работам (услугам); выплате заработной платы работникам учреждения, оплате ежегодного оплачиваемого отпуска, льготного проезда к месту отдыха и обратно, и т.д., на сумму 131 620,7 тыс.руб. 
Кассовый расход по приносящей доход деятельности (в МБУ ДО СШ: услуги тренажерного зала, занятия  фитнес аэробике; МАУ ДО СШ "Олимп": прокат коньков на кортах в 6 мкр. и 1 мкр.) на 31.12.2024 составил 4 058,48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тыс.руб.                                                    </t>
    </r>
  </si>
  <si>
    <t xml:space="preserve">Заровнятных Ольга Сергеевна </t>
  </si>
  <si>
    <t>8(3463) 42-23-09</t>
  </si>
  <si>
    <t xml:space="preserve">Исполнитель: главный специалист по физической культуре и спорту управления по культуре и спорту </t>
  </si>
  <si>
    <t xml:space="preserve">Заключены договоры на переустановку и установку дополнительных кнопок тревожной сигнализации на объектах, установку СКУД, переустановку системы экстренного оповещения посетителей и работников, переоборудование видеонаблюдения, на устройство хоккейного корта, расположенного по адресу: г.Пыть-Ях, 2а мкр. «Лесников», на устройство спортивной площадки, расположенной по адресу: г.Пыть-Ях, мкр.9 «Черемушки»; на обустройство универсальной спортивной площадки, расположенной по адресу: г. Пыть-Ях, мкр. 2 Нефтяников, территория жилых домов № 3, 4,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</si>
</sst>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4">
    <xf numFmtId="0" fontId="0" fillId="0" borderId="0" xfId="0"/>
    <xf numFmtId="16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10" fontId="2" fillId="2" borderId="1" xfId="1" applyNumberFormat="1" applyFont="1" applyFill="1" applyBorder="1" applyAlignment="1">
      <alignment horizontal="center" vertical="center" wrapText="1"/>
    </xf>
    <xf numFmtId="10" fontId="1" fillId="2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3" borderId="1" xfId="0" applyNumberFormat="1" applyFont="1" applyFill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/>
    <xf numFmtId="0" fontId="4" fillId="3" borderId="1" xfId="0" applyFont="1" applyFill="1" applyBorder="1"/>
    <xf numFmtId="0" fontId="4" fillId="3" borderId="0" xfId="0" applyFont="1" applyFill="1"/>
    <xf numFmtId="16" fontId="2" fillId="4" borderId="1" xfId="0" applyNumberFormat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0" fontId="2" fillId="4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1" applyNumberFormat="1" applyFont="1" applyFill="1" applyBorder="1" applyAlignment="1">
      <alignment horizontal="center" vertical="center" wrapText="1"/>
    </xf>
    <xf numFmtId="10" fontId="1" fillId="4" borderId="1" xfId="1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 wrapText="1"/>
    </xf>
    <xf numFmtId="0" fontId="4" fillId="3" borderId="0" xfId="0" applyFont="1" applyFill="1" applyAlignment="1">
      <alignment horizontal="center" vertical="center"/>
    </xf>
    <xf numFmtId="0" fontId="0" fillId="3" borderId="0" xfId="0" applyFill="1" applyBorder="1"/>
    <xf numFmtId="0" fontId="2" fillId="6" borderId="1" xfId="0" applyFont="1" applyFill="1" applyBorder="1" applyAlignment="1">
      <alignment horizontal="left" vertical="center" wrapText="1"/>
    </xf>
    <xf numFmtId="16" fontId="2" fillId="6" borderId="1" xfId="0" applyNumberFormat="1" applyFont="1" applyFill="1" applyBorder="1" applyAlignment="1">
      <alignment horizontal="left" vertical="center" wrapText="1"/>
    </xf>
    <xf numFmtId="0" fontId="5" fillId="6" borderId="1" xfId="0" applyFont="1" applyFill="1" applyBorder="1"/>
    <xf numFmtId="0" fontId="1" fillId="5" borderId="1" xfId="0" applyFont="1" applyFill="1" applyBorder="1" applyAlignment="1">
      <alignment horizontal="left" vertical="center" wrapText="1"/>
    </xf>
    <xf numFmtId="10" fontId="4" fillId="3" borderId="0" xfId="0" applyNumberFormat="1" applyFont="1" applyFill="1"/>
    <xf numFmtId="4" fontId="4" fillId="3" borderId="0" xfId="0" applyNumberFormat="1" applyFont="1" applyFill="1"/>
    <xf numFmtId="0" fontId="5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top"/>
    </xf>
    <xf numFmtId="0" fontId="4" fillId="3" borderId="0" xfId="0" applyFont="1" applyFill="1" applyAlignment="1">
      <alignment vertical="top"/>
    </xf>
    <xf numFmtId="4" fontId="0" fillId="3" borderId="0" xfId="0" applyNumberFormat="1" applyFill="1" applyBorder="1"/>
    <xf numFmtId="10" fontId="0" fillId="3" borderId="0" xfId="0" applyNumberFormat="1" applyFill="1" applyBorder="1"/>
    <xf numFmtId="16" fontId="6" fillId="3" borderId="1" xfId="0" applyNumberFormat="1" applyFont="1" applyFill="1" applyBorder="1" applyAlignment="1">
      <alignment horizontal="center" vertical="center" wrapText="1"/>
    </xf>
    <xf numFmtId="16" fontId="6" fillId="3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43" fontId="5" fillId="3" borderId="1" xfId="1" applyFont="1" applyFill="1" applyBorder="1" applyAlignment="1">
      <alignment horizontal="center" vertical="center"/>
    </xf>
    <xf numFmtId="43" fontId="5" fillId="6" borderId="1" xfId="1" applyFont="1" applyFill="1" applyBorder="1" applyAlignment="1">
      <alignment horizontal="center" vertical="center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165" fontId="2" fillId="6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wrapText="1"/>
    </xf>
    <xf numFmtId="1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2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4" borderId="1" xfId="0" applyNumberFormat="1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 wrapText="1"/>
    </xf>
    <xf numFmtId="4" fontId="8" fillId="4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1"/>
  <sheetViews>
    <sheetView tabSelected="1" view="pageBreakPreview" zoomScale="110" zoomScaleNormal="85" zoomScaleSheetLayoutView="110" workbookViewId="0">
      <selection activeCell="D54" sqref="D54"/>
    </sheetView>
  </sheetViews>
  <sheetFormatPr defaultRowHeight="15" x14ac:dyDescent="0.25"/>
  <cols>
    <col min="1" max="1" width="4.85546875" style="26" bestFit="1" customWidth="1"/>
    <col min="2" max="2" width="46.85546875" style="17" customWidth="1"/>
    <col min="3" max="3" width="19.140625" style="17" customWidth="1"/>
    <col min="4" max="4" width="17.42578125" style="55" customWidth="1"/>
    <col min="5" max="5" width="14.7109375" style="17" customWidth="1"/>
    <col min="6" max="6" width="14.28515625" style="17" customWidth="1"/>
    <col min="7" max="7" width="12.85546875" style="17" customWidth="1"/>
    <col min="8" max="8" width="59.42578125" style="36" customWidth="1"/>
    <col min="9" max="9" width="52.7109375" style="17" hidden="1" customWidth="1"/>
    <col min="10" max="10" width="29.85546875" style="27" hidden="1" customWidth="1"/>
    <col min="11" max="13" width="0" style="27" hidden="1" customWidth="1"/>
    <col min="14" max="36" width="9.140625" style="27"/>
    <col min="37" max="16384" width="9.140625" style="7"/>
  </cols>
  <sheetData>
    <row r="1" spans="1:12" ht="15" customHeight="1" x14ac:dyDescent="0.25">
      <c r="A1" s="70" t="s">
        <v>14</v>
      </c>
      <c r="B1" s="70"/>
      <c r="C1" s="70" t="s">
        <v>58</v>
      </c>
      <c r="D1" s="70"/>
      <c r="E1" s="70"/>
      <c r="F1" s="70"/>
      <c r="G1" s="70"/>
      <c r="H1" s="71" t="s">
        <v>60</v>
      </c>
      <c r="I1" s="73" t="s">
        <v>11</v>
      </c>
    </row>
    <row r="2" spans="1:12" ht="57" x14ac:dyDescent="0.25">
      <c r="A2" s="70"/>
      <c r="B2" s="70"/>
      <c r="C2" s="39" t="s">
        <v>0</v>
      </c>
      <c r="D2" s="40" t="s">
        <v>61</v>
      </c>
      <c r="E2" s="8" t="s">
        <v>9</v>
      </c>
      <c r="F2" s="8" t="s">
        <v>2</v>
      </c>
      <c r="G2" s="8" t="s">
        <v>3</v>
      </c>
      <c r="H2" s="72"/>
      <c r="I2" s="73"/>
    </row>
    <row r="3" spans="1:12" x14ac:dyDescent="0.25">
      <c r="A3" s="76"/>
      <c r="B3" s="77" t="s">
        <v>15</v>
      </c>
      <c r="C3" s="1" t="s">
        <v>4</v>
      </c>
      <c r="D3" s="41">
        <f t="shared" ref="D3:F4" si="0">D8+D25</f>
        <v>138.30000000000001</v>
      </c>
      <c r="E3" s="41">
        <f t="shared" si="0"/>
        <v>138.28476999999998</v>
      </c>
      <c r="F3" s="41">
        <f t="shared" si="0"/>
        <v>138.28476999999998</v>
      </c>
      <c r="G3" s="41">
        <f>F3/E3*100</f>
        <v>100</v>
      </c>
      <c r="H3" s="78"/>
      <c r="I3" s="79"/>
    </row>
    <row r="4" spans="1:12" x14ac:dyDescent="0.25">
      <c r="A4" s="76"/>
      <c r="B4" s="77"/>
      <c r="C4" s="1" t="s">
        <v>5</v>
      </c>
      <c r="D4" s="41">
        <f t="shared" si="0"/>
        <v>8062</v>
      </c>
      <c r="E4" s="41">
        <f t="shared" si="0"/>
        <v>8062.01523</v>
      </c>
      <c r="F4" s="41">
        <f t="shared" si="0"/>
        <v>8061.9652299999998</v>
      </c>
      <c r="G4" s="41">
        <f t="shared" ref="G4:G5" si="1">F4/E4*100</f>
        <v>99.999379807671247</v>
      </c>
      <c r="H4" s="78"/>
      <c r="I4" s="79"/>
    </row>
    <row r="5" spans="1:12" x14ac:dyDescent="0.25">
      <c r="A5" s="76"/>
      <c r="B5" s="77"/>
      <c r="C5" s="1" t="s">
        <v>6</v>
      </c>
      <c r="D5" s="41">
        <f>D27+D10</f>
        <v>461916.43367999996</v>
      </c>
      <c r="E5" s="41">
        <f>E27+E10</f>
        <v>461916.43367999996</v>
      </c>
      <c r="F5" s="41">
        <f>F27+F10</f>
        <v>279974.60368</v>
      </c>
      <c r="G5" s="41">
        <f t="shared" si="1"/>
        <v>60.611526948607533</v>
      </c>
      <c r="H5" s="78"/>
      <c r="I5" s="79"/>
    </row>
    <row r="6" spans="1:12" x14ac:dyDescent="0.25">
      <c r="A6" s="76"/>
      <c r="B6" s="77"/>
      <c r="C6" s="1" t="s">
        <v>7</v>
      </c>
      <c r="D6" s="41">
        <f>D11+D28</f>
        <v>11850</v>
      </c>
      <c r="E6" s="41" t="s">
        <v>42</v>
      </c>
      <c r="F6" s="41">
        <f>F11+F28</f>
        <v>15150.63</v>
      </c>
      <c r="G6" s="41">
        <f>F6/D6*100</f>
        <v>127.85341772151899</v>
      </c>
      <c r="H6" s="78"/>
      <c r="I6" s="79"/>
      <c r="J6" s="58" t="s">
        <v>67</v>
      </c>
      <c r="K6" s="59"/>
      <c r="L6" s="59"/>
    </row>
    <row r="7" spans="1:12" x14ac:dyDescent="0.25">
      <c r="A7" s="76"/>
      <c r="B7" s="77"/>
      <c r="C7" s="2" t="s">
        <v>8</v>
      </c>
      <c r="D7" s="42">
        <f>SUM(D3:D6)</f>
        <v>481966.73367999995</v>
      </c>
      <c r="E7" s="42">
        <f>SUM(E3:E6)</f>
        <v>470116.73367999995</v>
      </c>
      <c r="F7" s="42">
        <f>SUM(F3:F5)</f>
        <v>288174.85368</v>
      </c>
      <c r="G7" s="41">
        <f>F7/E7*100</f>
        <v>61.298573957198357</v>
      </c>
      <c r="H7" s="78"/>
      <c r="I7" s="79"/>
      <c r="J7" s="37">
        <f>E7-(209633077.18/1000)</f>
        <v>260483.65649999995</v>
      </c>
      <c r="K7" s="27">
        <f>F7-(29087041.6/1000)</f>
        <v>259087.81208</v>
      </c>
      <c r="L7" s="38">
        <f>K7/J7</f>
        <v>0.99464133589509884</v>
      </c>
    </row>
    <row r="8" spans="1:12" ht="13.5" hidden="1" customHeight="1" x14ac:dyDescent="0.25">
      <c r="A8" s="65" t="s">
        <v>10</v>
      </c>
      <c r="B8" s="66" t="s">
        <v>17</v>
      </c>
      <c r="C8" s="18" t="s">
        <v>4</v>
      </c>
      <c r="D8" s="54"/>
      <c r="E8" s="43"/>
      <c r="F8" s="43"/>
      <c r="G8" s="44" t="e">
        <f>E8:F8/D8:E8</f>
        <v>#VALUE!</v>
      </c>
      <c r="H8" s="68"/>
      <c r="I8" s="74"/>
    </row>
    <row r="9" spans="1:12" ht="13.5" customHeight="1" x14ac:dyDescent="0.25">
      <c r="A9" s="65"/>
      <c r="B9" s="66"/>
      <c r="C9" s="18" t="s">
        <v>5</v>
      </c>
      <c r="D9" s="43">
        <f>D22</f>
        <v>1028.8</v>
      </c>
      <c r="E9" s="43">
        <f>E22</f>
        <v>1028.8</v>
      </c>
      <c r="F9" s="43">
        <f>F22</f>
        <v>1028.8</v>
      </c>
      <c r="G9" s="44">
        <f>F9/E9*100</f>
        <v>100</v>
      </c>
      <c r="H9" s="68"/>
      <c r="I9" s="74"/>
    </row>
    <row r="10" spans="1:12" ht="13.5" customHeight="1" x14ac:dyDescent="0.25">
      <c r="A10" s="65"/>
      <c r="B10" s="66"/>
      <c r="C10" s="18" t="s">
        <v>6</v>
      </c>
      <c r="D10" s="43">
        <f>D13+D15+D17+D20+D23</f>
        <v>67939.3</v>
      </c>
      <c r="E10" s="43">
        <f>E13+E15+E17+E20+E23</f>
        <v>67939.3</v>
      </c>
      <c r="F10" s="43">
        <f>F13+F15+F17+F20+F23</f>
        <v>67654.990000000005</v>
      </c>
      <c r="G10" s="44">
        <f>F10/E10*100</f>
        <v>99.581523507012875</v>
      </c>
      <c r="H10" s="68"/>
      <c r="I10" s="74"/>
    </row>
    <row r="11" spans="1:12" ht="13.5" customHeight="1" x14ac:dyDescent="0.25">
      <c r="A11" s="65"/>
      <c r="B11" s="66"/>
      <c r="C11" s="18" t="s">
        <v>7</v>
      </c>
      <c r="D11" s="43">
        <f>D18</f>
        <v>8500</v>
      </c>
      <c r="E11" s="43" t="str">
        <f>E18</f>
        <v>-</v>
      </c>
      <c r="F11" s="43">
        <f>F18</f>
        <v>11092.15</v>
      </c>
      <c r="G11" s="43">
        <f>F11/D11*100</f>
        <v>130.49588235294115</v>
      </c>
      <c r="H11" s="68"/>
      <c r="I11" s="74"/>
    </row>
    <row r="12" spans="1:12" ht="13.5" customHeight="1" x14ac:dyDescent="0.25">
      <c r="A12" s="65"/>
      <c r="B12" s="66"/>
      <c r="C12" s="31" t="s">
        <v>8</v>
      </c>
      <c r="D12" s="45">
        <f>SUM(D8:D11)</f>
        <v>77468.100000000006</v>
      </c>
      <c r="E12" s="45">
        <f>SUM(E8:E11)</f>
        <v>68968.100000000006</v>
      </c>
      <c r="F12" s="45">
        <f t="shared" ref="E12:F12" si="2">SUM(F8:F10)</f>
        <v>68683.790000000008</v>
      </c>
      <c r="G12" s="45">
        <f t="shared" ref="G12:G17" si="3">F12/E12*100</f>
        <v>99.587765938165617</v>
      </c>
      <c r="H12" s="68"/>
      <c r="I12" s="74"/>
    </row>
    <row r="13" spans="1:12" ht="76.5" customHeight="1" x14ac:dyDescent="0.25">
      <c r="A13" s="80" t="s">
        <v>12</v>
      </c>
      <c r="B13" s="81" t="s">
        <v>16</v>
      </c>
      <c r="C13" s="9" t="s">
        <v>6</v>
      </c>
      <c r="D13" s="46">
        <v>359.4</v>
      </c>
      <c r="E13" s="46">
        <v>359.4</v>
      </c>
      <c r="F13" s="46">
        <v>359.4</v>
      </c>
      <c r="G13" s="46">
        <f t="shared" si="3"/>
        <v>100</v>
      </c>
      <c r="H13" s="62" t="s">
        <v>68</v>
      </c>
      <c r="I13" s="82" t="s">
        <v>59</v>
      </c>
    </row>
    <row r="14" spans="1:12" ht="19.5" customHeight="1" x14ac:dyDescent="0.25">
      <c r="A14" s="80"/>
      <c r="B14" s="81"/>
      <c r="C14" s="28" t="s">
        <v>8</v>
      </c>
      <c r="D14" s="47">
        <f>D13</f>
        <v>359.4</v>
      </c>
      <c r="E14" s="47">
        <f>E13</f>
        <v>359.4</v>
      </c>
      <c r="F14" s="47">
        <f>F13</f>
        <v>359.4</v>
      </c>
      <c r="G14" s="47">
        <f t="shared" si="3"/>
        <v>100</v>
      </c>
      <c r="H14" s="62"/>
      <c r="I14" s="82"/>
    </row>
    <row r="15" spans="1:12" ht="46.5" customHeight="1" x14ac:dyDescent="0.25">
      <c r="A15" s="60" t="s">
        <v>19</v>
      </c>
      <c r="B15" s="61" t="s">
        <v>18</v>
      </c>
      <c r="C15" s="9" t="s">
        <v>6</v>
      </c>
      <c r="D15" s="50">
        <v>2580</v>
      </c>
      <c r="E15" s="48">
        <v>2580</v>
      </c>
      <c r="F15" s="48">
        <v>2535.65</v>
      </c>
      <c r="G15" s="48">
        <f t="shared" si="3"/>
        <v>98.281007751937992</v>
      </c>
      <c r="H15" s="63" t="s">
        <v>64</v>
      </c>
      <c r="I15" s="82"/>
    </row>
    <row r="16" spans="1:12" ht="13.5" customHeight="1" x14ac:dyDescent="0.25">
      <c r="A16" s="60"/>
      <c r="B16" s="61"/>
      <c r="C16" s="29" t="s">
        <v>8</v>
      </c>
      <c r="D16" s="56">
        <f>SUM(D15)</f>
        <v>2580</v>
      </c>
      <c r="E16" s="49">
        <f>SUM(E15)</f>
        <v>2580</v>
      </c>
      <c r="F16" s="49">
        <f>SUM(F15)</f>
        <v>2535.65</v>
      </c>
      <c r="G16" s="49">
        <f t="shared" si="3"/>
        <v>98.281007751937992</v>
      </c>
      <c r="H16" s="63"/>
      <c r="I16" s="82"/>
    </row>
    <row r="17" spans="1:10" ht="40.5" customHeight="1" x14ac:dyDescent="0.25">
      <c r="A17" s="60" t="s">
        <v>21</v>
      </c>
      <c r="B17" s="61" t="s">
        <v>20</v>
      </c>
      <c r="C17" s="9" t="s">
        <v>6</v>
      </c>
      <c r="D17" s="50">
        <v>45711.8</v>
      </c>
      <c r="E17" s="48">
        <v>45711.8</v>
      </c>
      <c r="F17" s="48">
        <v>45705.84</v>
      </c>
      <c r="G17" s="48">
        <f t="shared" si="3"/>
        <v>99.986961791047378</v>
      </c>
      <c r="H17" s="63" t="s">
        <v>62</v>
      </c>
      <c r="I17" s="82"/>
    </row>
    <row r="18" spans="1:10" ht="40.5" customHeight="1" x14ac:dyDescent="0.25">
      <c r="A18" s="60"/>
      <c r="B18" s="61"/>
      <c r="C18" s="9" t="s">
        <v>7</v>
      </c>
      <c r="D18" s="50">
        <v>8500</v>
      </c>
      <c r="E18" s="50" t="s">
        <v>42</v>
      </c>
      <c r="F18" s="50">
        <v>11092.15</v>
      </c>
      <c r="G18" s="48">
        <f>F18/D18*100</f>
        <v>130.49588235294115</v>
      </c>
      <c r="H18" s="63"/>
      <c r="I18" s="82"/>
    </row>
    <row r="19" spans="1:10" ht="19.5" customHeight="1" x14ac:dyDescent="0.25">
      <c r="A19" s="60"/>
      <c r="B19" s="61"/>
      <c r="C19" s="29" t="s">
        <v>8</v>
      </c>
      <c r="D19" s="56">
        <f>SUM(D17:D18)</f>
        <v>54211.8</v>
      </c>
      <c r="E19" s="56">
        <f>SUM(E17:E18)</f>
        <v>45711.8</v>
      </c>
      <c r="F19" s="56">
        <f t="shared" ref="E19:F19" si="4">SUM(F17)</f>
        <v>45705.84</v>
      </c>
      <c r="G19" s="49">
        <f>F19/E19*100</f>
        <v>99.986961791047378</v>
      </c>
      <c r="H19" s="63"/>
      <c r="I19" s="82"/>
    </row>
    <row r="20" spans="1:10" ht="147.75" customHeight="1" x14ac:dyDescent="0.25">
      <c r="A20" s="60" t="s">
        <v>23</v>
      </c>
      <c r="B20" s="61" t="s">
        <v>22</v>
      </c>
      <c r="C20" s="34" t="s">
        <v>6</v>
      </c>
      <c r="D20" s="50">
        <v>3712.5</v>
      </c>
      <c r="E20" s="48">
        <v>3712.5</v>
      </c>
      <c r="F20" s="48">
        <v>3681.54</v>
      </c>
      <c r="G20" s="48">
        <f>F20/E20*100</f>
        <v>99.166060606060597</v>
      </c>
      <c r="H20" s="63" t="s">
        <v>63</v>
      </c>
      <c r="I20" s="82"/>
    </row>
    <row r="21" spans="1:10" ht="15" customHeight="1" x14ac:dyDescent="0.25">
      <c r="A21" s="60"/>
      <c r="B21" s="61"/>
      <c r="C21" s="30" t="s">
        <v>8</v>
      </c>
      <c r="D21" s="56">
        <f>SUM(D20)</f>
        <v>3712.5</v>
      </c>
      <c r="E21" s="49">
        <f>SUM(E20)</f>
        <v>3712.5</v>
      </c>
      <c r="F21" s="49">
        <f>SUM(F20)</f>
        <v>3681.54</v>
      </c>
      <c r="G21" s="49">
        <f t="shared" ref="G21" si="5">F21/E21*100</f>
        <v>99.166060606060597</v>
      </c>
      <c r="H21" s="63"/>
      <c r="I21" s="82"/>
    </row>
    <row r="22" spans="1:10" ht="78.75" customHeight="1" x14ac:dyDescent="0.25">
      <c r="A22" s="60" t="s">
        <v>24</v>
      </c>
      <c r="B22" s="61" t="s">
        <v>25</v>
      </c>
      <c r="C22" s="9" t="s">
        <v>5</v>
      </c>
      <c r="D22" s="50">
        <v>1028.8</v>
      </c>
      <c r="E22" s="48">
        <v>1028.8</v>
      </c>
      <c r="F22" s="48">
        <v>1028.8</v>
      </c>
      <c r="G22" s="48">
        <f t="shared" ref="G22:G27" si="6">F22/E22*100</f>
        <v>100</v>
      </c>
      <c r="H22" s="63" t="s">
        <v>73</v>
      </c>
      <c r="I22" s="82"/>
      <c r="J22" s="69" t="s">
        <v>43</v>
      </c>
    </row>
    <row r="23" spans="1:10" ht="78.75" customHeight="1" x14ac:dyDescent="0.25">
      <c r="A23" s="60"/>
      <c r="B23" s="61"/>
      <c r="C23" s="9" t="s">
        <v>6</v>
      </c>
      <c r="D23" s="50">
        <v>15575.6</v>
      </c>
      <c r="E23" s="48">
        <v>15575.6</v>
      </c>
      <c r="F23" s="48">
        <v>15372.56</v>
      </c>
      <c r="G23" s="48">
        <f t="shared" si="6"/>
        <v>98.696422609722887</v>
      </c>
      <c r="H23" s="63"/>
      <c r="I23" s="82"/>
      <c r="J23" s="69"/>
    </row>
    <row r="24" spans="1:10" ht="20.25" customHeight="1" x14ac:dyDescent="0.25">
      <c r="A24" s="60"/>
      <c r="B24" s="61"/>
      <c r="C24" s="29" t="s">
        <v>8</v>
      </c>
      <c r="D24" s="56">
        <f>SUM(D22:D23)</f>
        <v>16604.400000000001</v>
      </c>
      <c r="E24" s="49">
        <f>SUM(E22:E23)</f>
        <v>16604.400000000001</v>
      </c>
      <c r="F24" s="49">
        <f>SUM(F22:F23)</f>
        <v>16401.36</v>
      </c>
      <c r="G24" s="49">
        <f t="shared" si="6"/>
        <v>98.77719158777191</v>
      </c>
      <c r="H24" s="63"/>
      <c r="I24" s="82"/>
      <c r="J24" s="69"/>
    </row>
    <row r="25" spans="1:10" ht="13.5" customHeight="1" x14ac:dyDescent="0.25">
      <c r="A25" s="65" t="s">
        <v>27</v>
      </c>
      <c r="B25" s="66" t="s">
        <v>26</v>
      </c>
      <c r="C25" s="18" t="s">
        <v>4</v>
      </c>
      <c r="D25" s="43">
        <v>138.30000000000001</v>
      </c>
      <c r="E25" s="43">
        <f>E30</f>
        <v>138.28476999999998</v>
      </c>
      <c r="F25" s="43">
        <f>F30</f>
        <v>138.28476999999998</v>
      </c>
      <c r="G25" s="44">
        <f t="shared" si="6"/>
        <v>100</v>
      </c>
      <c r="H25" s="68"/>
      <c r="I25" s="82"/>
    </row>
    <row r="26" spans="1:10" ht="13.5" customHeight="1" x14ac:dyDescent="0.25">
      <c r="A26" s="65"/>
      <c r="B26" s="66"/>
      <c r="C26" s="18" t="s">
        <v>5</v>
      </c>
      <c r="D26" s="43">
        <v>7033.2</v>
      </c>
      <c r="E26" s="43">
        <f>E31+E41</f>
        <v>7033.2152299999998</v>
      </c>
      <c r="F26" s="43">
        <f>F31+F41</f>
        <v>7033.1652299999996</v>
      </c>
      <c r="G26" s="44">
        <f t="shared" si="6"/>
        <v>99.999289087588465</v>
      </c>
      <c r="H26" s="68"/>
      <c r="I26" s="82"/>
    </row>
    <row r="27" spans="1:10" ht="13.5" customHeight="1" x14ac:dyDescent="0.25">
      <c r="A27" s="65"/>
      <c r="B27" s="66"/>
      <c r="C27" s="18" t="s">
        <v>6</v>
      </c>
      <c r="D27" s="43">
        <v>393977.13367999997</v>
      </c>
      <c r="E27" s="43">
        <f>E32+E34+E36+E39+E42+E44</f>
        <v>393977.13367999997</v>
      </c>
      <c r="F27" s="43">
        <f>F32+F34+F36+F39+F42+F44</f>
        <v>212319.61368000001</v>
      </c>
      <c r="G27" s="44">
        <f t="shared" si="6"/>
        <v>53.891354479585694</v>
      </c>
      <c r="H27" s="68"/>
      <c r="I27" s="82"/>
    </row>
    <row r="28" spans="1:10" ht="13.5" customHeight="1" x14ac:dyDescent="0.25">
      <c r="A28" s="65"/>
      <c r="B28" s="66"/>
      <c r="C28" s="18" t="s">
        <v>7</v>
      </c>
      <c r="D28" s="43">
        <v>3350</v>
      </c>
      <c r="E28" s="43" t="s">
        <v>42</v>
      </c>
      <c r="F28" s="43">
        <f>F37</f>
        <v>4058.48</v>
      </c>
      <c r="G28" s="44">
        <f>F28/D28*100</f>
        <v>121.1486567164179</v>
      </c>
      <c r="H28" s="68"/>
      <c r="I28" s="82"/>
    </row>
    <row r="29" spans="1:10" ht="13.5" customHeight="1" x14ac:dyDescent="0.25">
      <c r="A29" s="65"/>
      <c r="B29" s="66"/>
      <c r="C29" s="31" t="s">
        <v>8</v>
      </c>
      <c r="D29" s="45">
        <f>SUM(D25:D28)</f>
        <v>404498.63367999997</v>
      </c>
      <c r="E29" s="45">
        <f>SUM(E25:E28)</f>
        <v>401148.63367999997</v>
      </c>
      <c r="F29" s="45">
        <f>SUM(F25:F27)</f>
        <v>219491.06368000002</v>
      </c>
      <c r="G29" s="45">
        <f>F29/E29*100</f>
        <v>54.715645337356456</v>
      </c>
      <c r="H29" s="68"/>
      <c r="I29" s="82"/>
    </row>
    <row r="30" spans="1:10" ht="16.5" customHeight="1" x14ac:dyDescent="0.25">
      <c r="A30" s="60" t="s">
        <v>29</v>
      </c>
      <c r="B30" s="61" t="s">
        <v>28</v>
      </c>
      <c r="C30" s="9" t="s">
        <v>4</v>
      </c>
      <c r="D30" s="50">
        <v>138.30000000000001</v>
      </c>
      <c r="E30" s="48">
        <f>138284.77/1000</f>
        <v>138.28476999999998</v>
      </c>
      <c r="F30" s="48">
        <f>138284.77/1000</f>
        <v>138.28476999999998</v>
      </c>
      <c r="G30" s="48">
        <f t="shared" ref="G30:G36" si="7">F30/E30*100</f>
        <v>100</v>
      </c>
      <c r="H30" s="63" t="s">
        <v>50</v>
      </c>
      <c r="I30" s="82"/>
    </row>
    <row r="31" spans="1:10" ht="16.5" customHeight="1" x14ac:dyDescent="0.25">
      <c r="A31" s="60"/>
      <c r="B31" s="61"/>
      <c r="C31" s="9" t="s">
        <v>5</v>
      </c>
      <c r="D31" s="50">
        <v>169</v>
      </c>
      <c r="E31" s="48">
        <f>169015.23/1000</f>
        <v>169.01523</v>
      </c>
      <c r="F31" s="48">
        <f>169015.23/1000</f>
        <v>169.01523</v>
      </c>
      <c r="G31" s="48">
        <f t="shared" si="7"/>
        <v>100</v>
      </c>
      <c r="H31" s="63"/>
      <c r="I31" s="82"/>
    </row>
    <row r="32" spans="1:10" ht="16.5" customHeight="1" x14ac:dyDescent="0.25">
      <c r="A32" s="60"/>
      <c r="B32" s="61"/>
      <c r="C32" s="9" t="s">
        <v>6</v>
      </c>
      <c r="D32" s="50">
        <v>16.2</v>
      </c>
      <c r="E32" s="48">
        <f>16173.68/1000</f>
        <v>16.173680000000001</v>
      </c>
      <c r="F32" s="48">
        <f>16173.68/1000</f>
        <v>16.173680000000001</v>
      </c>
      <c r="G32" s="48">
        <f t="shared" si="7"/>
        <v>100</v>
      </c>
      <c r="H32" s="63"/>
      <c r="I32" s="82"/>
    </row>
    <row r="33" spans="1:9" ht="13.5" customHeight="1" x14ac:dyDescent="0.25">
      <c r="A33" s="60"/>
      <c r="B33" s="61"/>
      <c r="C33" s="29" t="s">
        <v>8</v>
      </c>
      <c r="D33" s="56">
        <f>SUM(D30:D32)</f>
        <v>323.5</v>
      </c>
      <c r="E33" s="56">
        <f>SUM(E30:E32)</f>
        <v>323.47367999999994</v>
      </c>
      <c r="F33" s="49">
        <f>SUM(F30:F32)</f>
        <v>323.47367999999994</v>
      </c>
      <c r="G33" s="49">
        <f t="shared" si="7"/>
        <v>100</v>
      </c>
      <c r="H33" s="63"/>
      <c r="I33" s="82"/>
    </row>
    <row r="34" spans="1:9" ht="126.75" customHeight="1" x14ac:dyDescent="0.25">
      <c r="A34" s="60" t="s">
        <v>31</v>
      </c>
      <c r="B34" s="61" t="s">
        <v>30</v>
      </c>
      <c r="C34" s="9" t="s">
        <v>6</v>
      </c>
      <c r="D34" s="50">
        <v>5377.8</v>
      </c>
      <c r="E34" s="48">
        <v>5377.84</v>
      </c>
      <c r="F34" s="48">
        <v>5377.66</v>
      </c>
      <c r="G34" s="48">
        <f t="shared" si="7"/>
        <v>99.996652931288395</v>
      </c>
      <c r="H34" s="63" t="s">
        <v>65</v>
      </c>
      <c r="I34" s="82"/>
    </row>
    <row r="35" spans="1:9" ht="18" customHeight="1" x14ac:dyDescent="0.25">
      <c r="A35" s="60"/>
      <c r="B35" s="61"/>
      <c r="C35" s="29" t="s">
        <v>8</v>
      </c>
      <c r="D35" s="56">
        <f>SUM(D34)</f>
        <v>5377.8</v>
      </c>
      <c r="E35" s="49">
        <f>SUM(E34)</f>
        <v>5377.84</v>
      </c>
      <c r="F35" s="49">
        <f>SUM(F34)</f>
        <v>5377.66</v>
      </c>
      <c r="G35" s="49">
        <f t="shared" si="7"/>
        <v>99.996652931288395</v>
      </c>
      <c r="H35" s="63"/>
      <c r="I35" s="82"/>
    </row>
    <row r="36" spans="1:9" ht="95.25" customHeight="1" x14ac:dyDescent="0.25">
      <c r="A36" s="60" t="s">
        <v>32</v>
      </c>
      <c r="B36" s="61" t="s">
        <v>20</v>
      </c>
      <c r="C36" s="9" t="s">
        <v>6</v>
      </c>
      <c r="D36" s="50">
        <v>179898.06</v>
      </c>
      <c r="E36" s="48">
        <v>179898.06</v>
      </c>
      <c r="F36" s="48">
        <v>178856.79</v>
      </c>
      <c r="G36" s="48">
        <f t="shared" si="7"/>
        <v>99.421188866628142</v>
      </c>
      <c r="H36" s="63" t="s">
        <v>69</v>
      </c>
      <c r="I36" s="82"/>
    </row>
    <row r="37" spans="1:9" ht="95.25" customHeight="1" x14ac:dyDescent="0.25">
      <c r="A37" s="60"/>
      <c r="B37" s="61"/>
      <c r="C37" s="9" t="s">
        <v>7</v>
      </c>
      <c r="D37" s="50">
        <v>3350</v>
      </c>
      <c r="E37" s="50" t="s">
        <v>42</v>
      </c>
      <c r="F37" s="50">
        <v>4058.48</v>
      </c>
      <c r="G37" s="48">
        <f>F37/D37*100</f>
        <v>121.1486567164179</v>
      </c>
      <c r="H37" s="63"/>
      <c r="I37" s="82"/>
    </row>
    <row r="38" spans="1:9" ht="16.5" customHeight="1" x14ac:dyDescent="0.25">
      <c r="A38" s="60"/>
      <c r="B38" s="61"/>
      <c r="C38" s="29" t="s">
        <v>8</v>
      </c>
      <c r="D38" s="56">
        <f>SUM(D36:D37)</f>
        <v>183248.06</v>
      </c>
      <c r="E38" s="56">
        <f>SUM(E36:E37)</f>
        <v>179898.06</v>
      </c>
      <c r="F38" s="56">
        <f t="shared" ref="E38:F38" si="8">SUM(F36)</f>
        <v>178856.79</v>
      </c>
      <c r="G38" s="49">
        <f>F38/E38*100</f>
        <v>99.421188866628142</v>
      </c>
      <c r="H38" s="64"/>
      <c r="I38" s="82"/>
    </row>
    <row r="39" spans="1:9" ht="46.5" customHeight="1" x14ac:dyDescent="0.25">
      <c r="A39" s="60" t="s">
        <v>33</v>
      </c>
      <c r="B39" s="61" t="s">
        <v>22</v>
      </c>
      <c r="C39" s="9" t="s">
        <v>6</v>
      </c>
      <c r="D39" s="50">
        <v>13782.15</v>
      </c>
      <c r="E39" s="48">
        <v>13782.15</v>
      </c>
      <c r="F39" s="48">
        <v>13509.1</v>
      </c>
      <c r="G39" s="48">
        <f>F39/E39*100</f>
        <v>98.018814190819299</v>
      </c>
      <c r="H39" s="63" t="s">
        <v>53</v>
      </c>
      <c r="I39" s="82"/>
    </row>
    <row r="40" spans="1:9" ht="18" customHeight="1" x14ac:dyDescent="0.25">
      <c r="A40" s="60"/>
      <c r="B40" s="61"/>
      <c r="C40" s="29" t="s">
        <v>8</v>
      </c>
      <c r="D40" s="56">
        <f>SUM(D39)</f>
        <v>13782.15</v>
      </c>
      <c r="E40" s="49">
        <f>SUM(E39)</f>
        <v>13782.15</v>
      </c>
      <c r="F40" s="49">
        <f>SUM(F39)</f>
        <v>13509.1</v>
      </c>
      <c r="G40" s="49">
        <f t="shared" ref="G40" si="9">F40/E40*100</f>
        <v>98.018814190819299</v>
      </c>
      <c r="H40" s="63"/>
      <c r="I40" s="82"/>
    </row>
    <row r="41" spans="1:9" ht="49.5" customHeight="1" x14ac:dyDescent="0.25">
      <c r="A41" s="60" t="s">
        <v>34</v>
      </c>
      <c r="B41" s="61" t="s">
        <v>35</v>
      </c>
      <c r="C41" s="9" t="s">
        <v>5</v>
      </c>
      <c r="D41" s="50">
        <v>6864.2</v>
      </c>
      <c r="E41" s="48">
        <f>6864200/1000</f>
        <v>6864.2</v>
      </c>
      <c r="F41" s="48">
        <v>6864.15</v>
      </c>
      <c r="G41" s="48">
        <f>F41/E41*100</f>
        <v>99.999271582995831</v>
      </c>
      <c r="H41" s="63" t="s">
        <v>54</v>
      </c>
      <c r="I41" s="82"/>
    </row>
    <row r="42" spans="1:9" ht="49.5" customHeight="1" x14ac:dyDescent="0.25">
      <c r="A42" s="60"/>
      <c r="B42" s="61"/>
      <c r="C42" s="9" t="s">
        <v>6</v>
      </c>
      <c r="D42" s="50">
        <v>361.3</v>
      </c>
      <c r="E42" s="48">
        <f>361300/1000</f>
        <v>361.3</v>
      </c>
      <c r="F42" s="48">
        <v>361.27</v>
      </c>
      <c r="G42" s="48">
        <f>F42/E42*100</f>
        <v>99.991696650982547</v>
      </c>
      <c r="H42" s="63"/>
      <c r="I42" s="82"/>
    </row>
    <row r="43" spans="1:9" ht="15.75" customHeight="1" x14ac:dyDescent="0.25">
      <c r="A43" s="60"/>
      <c r="B43" s="61"/>
      <c r="C43" s="29" t="s">
        <v>8</v>
      </c>
      <c r="D43" s="56">
        <f>D41+D42</f>
        <v>7225.5</v>
      </c>
      <c r="E43" s="49">
        <f>E41+E42</f>
        <v>7225.5</v>
      </c>
      <c r="F43" s="49">
        <f>F41+F42</f>
        <v>7225.42</v>
      </c>
      <c r="G43" s="49">
        <f>F43/E43*100</f>
        <v>99.998892810186149</v>
      </c>
      <c r="H43" s="63"/>
      <c r="I43" s="82"/>
    </row>
    <row r="44" spans="1:9" ht="174.75" customHeight="1" x14ac:dyDescent="0.25">
      <c r="A44" s="60" t="s">
        <v>36</v>
      </c>
      <c r="B44" s="61" t="s">
        <v>37</v>
      </c>
      <c r="C44" s="9" t="s">
        <v>6</v>
      </c>
      <c r="D44" s="50">
        <v>194541.61</v>
      </c>
      <c r="E44" s="48">
        <v>194541.61</v>
      </c>
      <c r="F44" s="48">
        <v>14198.62</v>
      </c>
      <c r="G44" s="48">
        <f>F44/E44*100</f>
        <v>7.2985003054102426</v>
      </c>
      <c r="H44" s="62" t="s">
        <v>66</v>
      </c>
      <c r="I44" s="82"/>
    </row>
    <row r="45" spans="1:9" ht="18" customHeight="1" x14ac:dyDescent="0.25">
      <c r="A45" s="60"/>
      <c r="B45" s="61"/>
      <c r="C45" s="29" t="s">
        <v>8</v>
      </c>
      <c r="D45" s="56">
        <f>D44</f>
        <v>194541.61</v>
      </c>
      <c r="E45" s="49">
        <f>E44</f>
        <v>194541.61</v>
      </c>
      <c r="F45" s="49">
        <f>F44</f>
        <v>14198.62</v>
      </c>
      <c r="G45" s="49">
        <f>F45/E45*100</f>
        <v>7.2985003054102426</v>
      </c>
      <c r="H45" s="62"/>
      <c r="I45" s="82"/>
    </row>
    <row r="46" spans="1:9" ht="13.5" hidden="1" customHeight="1" x14ac:dyDescent="0.25">
      <c r="A46" s="65" t="s">
        <v>38</v>
      </c>
      <c r="B46" s="66" t="s">
        <v>39</v>
      </c>
      <c r="C46" s="18" t="s">
        <v>4</v>
      </c>
      <c r="D46" s="57" t="s">
        <v>42</v>
      </c>
      <c r="E46" s="51" t="s">
        <v>42</v>
      </c>
      <c r="F46" s="51" t="s">
        <v>42</v>
      </c>
      <c r="G46" s="52">
        <v>0</v>
      </c>
      <c r="H46" s="67"/>
      <c r="I46" s="82"/>
    </row>
    <row r="47" spans="1:9" ht="13.5" hidden="1" customHeight="1" x14ac:dyDescent="0.25">
      <c r="A47" s="65"/>
      <c r="B47" s="66"/>
      <c r="C47" s="18" t="s">
        <v>5</v>
      </c>
      <c r="D47" s="57" t="s">
        <v>42</v>
      </c>
      <c r="E47" s="51" t="s">
        <v>42</v>
      </c>
      <c r="F47" s="51" t="s">
        <v>42</v>
      </c>
      <c r="G47" s="52">
        <v>0</v>
      </c>
      <c r="H47" s="68"/>
      <c r="I47" s="82"/>
    </row>
    <row r="48" spans="1:9" ht="13.5" hidden="1" customHeight="1" x14ac:dyDescent="0.25">
      <c r="A48" s="65"/>
      <c r="B48" s="66"/>
      <c r="C48" s="18" t="s">
        <v>6</v>
      </c>
      <c r="D48" s="57" t="s">
        <v>42</v>
      </c>
      <c r="E48" s="51" t="s">
        <v>42</v>
      </c>
      <c r="F48" s="51" t="s">
        <v>42</v>
      </c>
      <c r="G48" s="52">
        <v>0</v>
      </c>
      <c r="H48" s="68"/>
      <c r="I48" s="82"/>
    </row>
    <row r="49" spans="1:9" ht="13.5" hidden="1" customHeight="1" x14ac:dyDescent="0.25">
      <c r="A49" s="65"/>
      <c r="B49" s="66"/>
      <c r="C49" s="25" t="s">
        <v>7</v>
      </c>
      <c r="D49" s="57" t="s">
        <v>42</v>
      </c>
      <c r="E49" s="51" t="s">
        <v>42</v>
      </c>
      <c r="F49" s="51" t="s">
        <v>42</v>
      </c>
      <c r="G49" s="52">
        <v>0</v>
      </c>
      <c r="H49" s="68"/>
      <c r="I49" s="82"/>
    </row>
    <row r="50" spans="1:9" ht="13.5" hidden="1" customHeight="1" x14ac:dyDescent="0.25">
      <c r="A50" s="65"/>
      <c r="B50" s="66"/>
      <c r="C50" s="21" t="s">
        <v>8</v>
      </c>
      <c r="D50" s="57" t="s">
        <v>42</v>
      </c>
      <c r="E50" s="51" t="s">
        <v>42</v>
      </c>
      <c r="F50" s="51" t="s">
        <v>42</v>
      </c>
      <c r="G50" s="52">
        <v>0</v>
      </c>
      <c r="H50" s="68"/>
      <c r="I50" s="82"/>
    </row>
    <row r="51" spans="1:9" ht="54.75" hidden="1" customHeight="1" x14ac:dyDescent="0.25">
      <c r="A51" s="60" t="s">
        <v>40</v>
      </c>
      <c r="B51" s="61" t="s">
        <v>41</v>
      </c>
      <c r="C51" s="9" t="s">
        <v>6</v>
      </c>
      <c r="D51" s="50" t="s">
        <v>42</v>
      </c>
      <c r="E51" s="48" t="s">
        <v>42</v>
      </c>
      <c r="F51" s="48" t="s">
        <v>42</v>
      </c>
      <c r="G51" s="52">
        <v>0</v>
      </c>
      <c r="H51" s="35" t="s">
        <v>42</v>
      </c>
      <c r="I51" s="82"/>
    </row>
    <row r="52" spans="1:9" ht="54.75" hidden="1" customHeight="1" x14ac:dyDescent="0.25">
      <c r="A52" s="60"/>
      <c r="B52" s="61"/>
      <c r="C52" s="29" t="s">
        <v>8</v>
      </c>
      <c r="D52" s="56" t="s">
        <v>42</v>
      </c>
      <c r="E52" s="49" t="s">
        <v>42</v>
      </c>
      <c r="F52" s="49" t="s">
        <v>42</v>
      </c>
      <c r="G52" s="53">
        <v>0</v>
      </c>
      <c r="H52" s="35" t="s">
        <v>42</v>
      </c>
      <c r="I52" s="82"/>
    </row>
    <row r="54" spans="1:9" ht="15" customHeight="1" x14ac:dyDescent="0.25">
      <c r="B54" s="75" t="s">
        <v>72</v>
      </c>
    </row>
    <row r="55" spans="1:9" x14ac:dyDescent="0.25">
      <c r="B55" s="75"/>
      <c r="E55" s="33"/>
      <c r="F55" s="33"/>
      <c r="G55" s="32"/>
    </row>
    <row r="56" spans="1:9" x14ac:dyDescent="0.25">
      <c r="B56" s="75"/>
      <c r="E56" s="33"/>
      <c r="F56" s="33"/>
      <c r="G56" s="32"/>
    </row>
    <row r="57" spans="1:9" x14ac:dyDescent="0.25">
      <c r="B57" s="17" t="s">
        <v>70</v>
      </c>
      <c r="E57" s="33"/>
      <c r="F57" s="33"/>
      <c r="G57" s="32"/>
    </row>
    <row r="58" spans="1:9" x14ac:dyDescent="0.25">
      <c r="B58" s="17" t="s">
        <v>71</v>
      </c>
      <c r="G58" s="32"/>
    </row>
    <row r="59" spans="1:9" x14ac:dyDescent="0.25">
      <c r="E59" s="33"/>
      <c r="F59" s="33"/>
      <c r="G59" s="32"/>
    </row>
    <row r="60" spans="1:9" x14ac:dyDescent="0.25">
      <c r="G60" s="32"/>
    </row>
    <row r="61" spans="1:9" x14ac:dyDescent="0.25">
      <c r="E61" s="33"/>
      <c r="F61" s="33"/>
      <c r="G61" s="32"/>
    </row>
  </sheetData>
  <mergeCells count="57">
    <mergeCell ref="B54:B56"/>
    <mergeCell ref="A3:A7"/>
    <mergeCell ref="B3:B7"/>
    <mergeCell ref="H3:H7"/>
    <mergeCell ref="I3:I7"/>
    <mergeCell ref="A13:A14"/>
    <mergeCell ref="B13:B14"/>
    <mergeCell ref="H13:H14"/>
    <mergeCell ref="I13:I52"/>
    <mergeCell ref="A15:A16"/>
    <mergeCell ref="B15:B16"/>
    <mergeCell ref="A25:A29"/>
    <mergeCell ref="B25:B29"/>
    <mergeCell ref="H25:H29"/>
    <mergeCell ref="H15:H16"/>
    <mergeCell ref="A17:A19"/>
    <mergeCell ref="A1:B2"/>
    <mergeCell ref="H1:H2"/>
    <mergeCell ref="I1:I2"/>
    <mergeCell ref="C1:G1"/>
    <mergeCell ref="A8:A12"/>
    <mergeCell ref="B8:B12"/>
    <mergeCell ref="H8:H12"/>
    <mergeCell ref="I8:I12"/>
    <mergeCell ref="B41:B43"/>
    <mergeCell ref="H41:H43"/>
    <mergeCell ref="B17:B19"/>
    <mergeCell ref="H17:H19"/>
    <mergeCell ref="A20:A21"/>
    <mergeCell ref="B20:B21"/>
    <mergeCell ref="H20:H21"/>
    <mergeCell ref="J22:J24"/>
    <mergeCell ref="A30:A33"/>
    <mergeCell ref="B30:B33"/>
    <mergeCell ref="H30:H33"/>
    <mergeCell ref="A34:A35"/>
    <mergeCell ref="B34:B35"/>
    <mergeCell ref="H34:H35"/>
    <mergeCell ref="A22:A24"/>
    <mergeCell ref="B22:B24"/>
    <mergeCell ref="H22:H24"/>
    <mergeCell ref="J6:L6"/>
    <mergeCell ref="A51:A52"/>
    <mergeCell ref="B51:B52"/>
    <mergeCell ref="A44:A45"/>
    <mergeCell ref="B44:B45"/>
    <mergeCell ref="H44:H45"/>
    <mergeCell ref="A36:A38"/>
    <mergeCell ref="B36:B38"/>
    <mergeCell ref="H36:H38"/>
    <mergeCell ref="A46:A50"/>
    <mergeCell ref="B46:B50"/>
    <mergeCell ref="H46:H50"/>
    <mergeCell ref="A39:A40"/>
    <mergeCell ref="B39:B40"/>
    <mergeCell ref="H39:H40"/>
    <mergeCell ref="A41:A43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zoomScaleNormal="100" workbookViewId="0">
      <selection activeCell="E65" sqref="E65"/>
    </sheetView>
  </sheetViews>
  <sheetFormatPr defaultRowHeight="15" x14ac:dyDescent="0.25"/>
  <cols>
    <col min="1" max="1" width="4.85546875" style="26" bestFit="1" customWidth="1"/>
    <col min="2" max="2" width="46.85546875" style="17" customWidth="1"/>
    <col min="3" max="3" width="19.140625" style="17" customWidth="1"/>
    <col min="4" max="4" width="14.7109375" style="17" customWidth="1"/>
    <col min="5" max="5" width="14.28515625" style="17" customWidth="1"/>
    <col min="6" max="6" width="12.85546875" style="17" customWidth="1"/>
    <col min="7" max="7" width="55.85546875" style="17" customWidth="1"/>
    <col min="8" max="8" width="52.7109375" style="17" customWidth="1"/>
    <col min="9" max="9" width="82.28515625" style="27" customWidth="1"/>
    <col min="10" max="10" width="29.85546875" style="27" customWidth="1"/>
    <col min="11" max="36" width="9.140625" style="27"/>
    <col min="37" max="16384" width="9.140625" style="7"/>
  </cols>
  <sheetData>
    <row r="1" spans="1:8" ht="15" customHeight="1" x14ac:dyDescent="0.25">
      <c r="A1" s="70" t="s">
        <v>14</v>
      </c>
      <c r="B1" s="70"/>
      <c r="C1" s="70" t="s">
        <v>0</v>
      </c>
      <c r="D1" s="84" t="s">
        <v>13</v>
      </c>
      <c r="E1" s="84"/>
      <c r="F1" s="84"/>
      <c r="G1" s="84" t="s">
        <v>1</v>
      </c>
      <c r="H1" s="73" t="s">
        <v>11</v>
      </c>
    </row>
    <row r="2" spans="1:8" ht="42.75" x14ac:dyDescent="0.25">
      <c r="A2" s="70"/>
      <c r="B2" s="70"/>
      <c r="C2" s="70"/>
      <c r="D2" s="8" t="s">
        <v>9</v>
      </c>
      <c r="E2" s="8" t="s">
        <v>2</v>
      </c>
      <c r="F2" s="8" t="s">
        <v>3</v>
      </c>
      <c r="G2" s="86"/>
      <c r="H2" s="73"/>
    </row>
    <row r="3" spans="1:8" ht="26.25" customHeight="1" x14ac:dyDescent="0.25">
      <c r="A3" s="76"/>
      <c r="B3" s="76" t="s">
        <v>15</v>
      </c>
      <c r="C3" s="1" t="s">
        <v>4</v>
      </c>
      <c r="D3" s="3">
        <f>D7+D22</f>
        <v>138284.76999999999</v>
      </c>
      <c r="E3" s="3">
        <f>E7+E22</f>
        <v>138284.76999999999</v>
      </c>
      <c r="F3" s="5">
        <f t="shared" ref="F3:F25" si="0">E3/D3</f>
        <v>1</v>
      </c>
      <c r="G3" s="85" t="s">
        <v>57</v>
      </c>
      <c r="H3" s="79"/>
    </row>
    <row r="4" spans="1:8" ht="26.25" customHeight="1" x14ac:dyDescent="0.25">
      <c r="A4" s="76"/>
      <c r="B4" s="76"/>
      <c r="C4" s="1" t="s">
        <v>5</v>
      </c>
      <c r="D4" s="3">
        <f>D8+D23</f>
        <v>8062015.2300000004</v>
      </c>
      <c r="E4" s="3">
        <f>E8+E23</f>
        <v>5432525.5300000003</v>
      </c>
      <c r="F4" s="5">
        <f t="shared" si="0"/>
        <v>0.6738421319008101</v>
      </c>
      <c r="G4" s="85"/>
      <c r="H4" s="79"/>
    </row>
    <row r="5" spans="1:8" ht="26.25" customHeight="1" x14ac:dyDescent="0.25">
      <c r="A5" s="76"/>
      <c r="B5" s="76"/>
      <c r="C5" s="1" t="s">
        <v>6</v>
      </c>
      <c r="D5" s="3">
        <f>D24+D9</f>
        <v>456385442.22000003</v>
      </c>
      <c r="E5" s="3">
        <f>E24+E9</f>
        <v>216497042.42999998</v>
      </c>
      <c r="F5" s="5">
        <f t="shared" si="0"/>
        <v>0.47437324332014486</v>
      </c>
      <c r="G5" s="85"/>
      <c r="H5" s="79"/>
    </row>
    <row r="6" spans="1:8" ht="26.25" customHeight="1" x14ac:dyDescent="0.25">
      <c r="A6" s="76"/>
      <c r="B6" s="76"/>
      <c r="C6" s="2" t="s">
        <v>8</v>
      </c>
      <c r="D6" s="4">
        <f>SUM(D3:D5)</f>
        <v>464585742.22000003</v>
      </c>
      <c r="E6" s="4">
        <f>SUM(E3:E5)</f>
        <v>222067852.72999999</v>
      </c>
      <c r="F6" s="6">
        <f t="shared" si="0"/>
        <v>0.47799110594496447</v>
      </c>
      <c r="G6" s="85"/>
      <c r="H6" s="79"/>
    </row>
    <row r="7" spans="1:8" ht="13.5" customHeight="1" x14ac:dyDescent="0.25">
      <c r="A7" s="65" t="s">
        <v>10</v>
      </c>
      <c r="B7" s="83" t="s">
        <v>17</v>
      </c>
      <c r="C7" s="18" t="s">
        <v>4</v>
      </c>
      <c r="D7" s="19"/>
      <c r="E7" s="19"/>
      <c r="F7" s="20"/>
      <c r="G7" s="87"/>
      <c r="H7" s="74"/>
    </row>
    <row r="8" spans="1:8" ht="13.5" customHeight="1" x14ac:dyDescent="0.25">
      <c r="A8" s="65"/>
      <c r="B8" s="83"/>
      <c r="C8" s="18" t="s">
        <v>5</v>
      </c>
      <c r="D8" s="19">
        <f>D19</f>
        <v>1028800</v>
      </c>
      <c r="E8" s="19">
        <f>E19</f>
        <v>763095.92</v>
      </c>
      <c r="F8" s="20">
        <f t="shared" si="0"/>
        <v>0.74173398133748059</v>
      </c>
      <c r="G8" s="87"/>
      <c r="H8" s="74"/>
    </row>
    <row r="9" spans="1:8" ht="13.5" customHeight="1" x14ac:dyDescent="0.25">
      <c r="A9" s="65"/>
      <c r="B9" s="83"/>
      <c r="C9" s="18" t="s">
        <v>6</v>
      </c>
      <c r="D9" s="19">
        <f>D11+D13+D15+D17+D20</f>
        <v>67676136.530000001</v>
      </c>
      <c r="E9" s="19">
        <f>E11+E13+E15+E17+E20</f>
        <v>44895348.150000006</v>
      </c>
      <c r="F9" s="20">
        <f t="shared" si="0"/>
        <v>0.66338521156712971</v>
      </c>
      <c r="G9" s="87"/>
      <c r="H9" s="74"/>
    </row>
    <row r="10" spans="1:8" ht="13.5" customHeight="1" x14ac:dyDescent="0.25">
      <c r="A10" s="65"/>
      <c r="B10" s="83"/>
      <c r="C10" s="21" t="s">
        <v>8</v>
      </c>
      <c r="D10" s="22">
        <f>SUM(D7:D9)</f>
        <v>68704936.530000001</v>
      </c>
      <c r="E10" s="22">
        <f>SUM(E7:E9)</f>
        <v>45658444.070000008</v>
      </c>
      <c r="F10" s="23">
        <f t="shared" si="0"/>
        <v>0.66455842004982069</v>
      </c>
      <c r="G10" s="87"/>
      <c r="H10" s="74"/>
    </row>
    <row r="11" spans="1:8" ht="49.5" customHeight="1" x14ac:dyDescent="0.25">
      <c r="A11" s="89" t="s">
        <v>12</v>
      </c>
      <c r="B11" s="91" t="s">
        <v>16</v>
      </c>
      <c r="C11" s="9" t="s">
        <v>6</v>
      </c>
      <c r="D11" s="10">
        <v>359400</v>
      </c>
      <c r="E11" s="10">
        <v>272452</v>
      </c>
      <c r="F11" s="11">
        <f t="shared" si="0"/>
        <v>0.75807456872565382</v>
      </c>
      <c r="G11" s="81" t="s">
        <v>48</v>
      </c>
      <c r="H11" s="82" t="s">
        <v>55</v>
      </c>
    </row>
    <row r="12" spans="1:8" ht="49.5" customHeight="1" x14ac:dyDescent="0.25">
      <c r="A12" s="90"/>
      <c r="B12" s="92"/>
      <c r="C12" s="12" t="s">
        <v>8</v>
      </c>
      <c r="D12" s="10"/>
      <c r="E12" s="10"/>
      <c r="F12" s="11"/>
      <c r="G12" s="81"/>
      <c r="H12" s="82"/>
    </row>
    <row r="13" spans="1:8" ht="31.5" customHeight="1" x14ac:dyDescent="0.25">
      <c r="A13" s="60" t="s">
        <v>19</v>
      </c>
      <c r="B13" s="88" t="s">
        <v>18</v>
      </c>
      <c r="C13" s="9" t="s">
        <v>6</v>
      </c>
      <c r="D13" s="13">
        <v>2580000</v>
      </c>
      <c r="E13" s="13">
        <v>2272697.7000000002</v>
      </c>
      <c r="F13" s="14">
        <f t="shared" si="0"/>
        <v>0.88089058139534893</v>
      </c>
      <c r="G13" s="93" t="s">
        <v>45</v>
      </c>
      <c r="H13" s="82"/>
    </row>
    <row r="14" spans="1:8" ht="31.5" customHeight="1" x14ac:dyDescent="0.25">
      <c r="A14" s="60"/>
      <c r="B14" s="88"/>
      <c r="C14" s="9" t="s">
        <v>8</v>
      </c>
      <c r="D14" s="13">
        <f>SUM(D13)</f>
        <v>2580000</v>
      </c>
      <c r="E14" s="13">
        <f>SUM(E13)</f>
        <v>2272697.7000000002</v>
      </c>
      <c r="F14" s="14">
        <f t="shared" si="0"/>
        <v>0.88089058139534893</v>
      </c>
      <c r="G14" s="94"/>
      <c r="H14" s="82"/>
    </row>
    <row r="15" spans="1:8" ht="60" customHeight="1" x14ac:dyDescent="0.25">
      <c r="A15" s="60" t="s">
        <v>21</v>
      </c>
      <c r="B15" s="88" t="s">
        <v>20</v>
      </c>
      <c r="C15" s="9" t="s">
        <v>6</v>
      </c>
      <c r="D15" s="13">
        <v>45711826.730000004</v>
      </c>
      <c r="E15" s="13">
        <v>38457749.950000003</v>
      </c>
      <c r="F15" s="14">
        <f t="shared" si="0"/>
        <v>0.84130853437893227</v>
      </c>
      <c r="G15" s="93" t="s">
        <v>47</v>
      </c>
      <c r="H15" s="82"/>
    </row>
    <row r="16" spans="1:8" ht="60" customHeight="1" x14ac:dyDescent="0.25">
      <c r="A16" s="60"/>
      <c r="B16" s="88"/>
      <c r="C16" s="9" t="s">
        <v>8</v>
      </c>
      <c r="D16" s="13">
        <f>SUM(D15:D15)</f>
        <v>45711826.730000004</v>
      </c>
      <c r="E16" s="13">
        <f>SUM(E15:E15)</f>
        <v>38457749.950000003</v>
      </c>
      <c r="F16" s="14">
        <f t="shared" si="0"/>
        <v>0.84130853437893227</v>
      </c>
      <c r="G16" s="94"/>
      <c r="H16" s="82"/>
    </row>
    <row r="17" spans="1:10" ht="44.25" customHeight="1" x14ac:dyDescent="0.25">
      <c r="A17" s="60" t="s">
        <v>23</v>
      </c>
      <c r="B17" s="88" t="s">
        <v>22</v>
      </c>
      <c r="C17" s="15" t="s">
        <v>6</v>
      </c>
      <c r="D17" s="13">
        <v>3712503.4</v>
      </c>
      <c r="E17" s="13">
        <v>2642304.4500000002</v>
      </c>
      <c r="F17" s="14">
        <f t="shared" si="0"/>
        <v>0.71173118656268441</v>
      </c>
      <c r="G17" s="93" t="s">
        <v>46</v>
      </c>
      <c r="H17" s="82"/>
    </row>
    <row r="18" spans="1:10" ht="44.25" customHeight="1" x14ac:dyDescent="0.25">
      <c r="A18" s="60"/>
      <c r="B18" s="88"/>
      <c r="C18" s="15" t="s">
        <v>8</v>
      </c>
      <c r="D18" s="13">
        <f>SUM(D17)</f>
        <v>3712503.4</v>
      </c>
      <c r="E18" s="13">
        <f>SUM(E17)</f>
        <v>2642304.4500000002</v>
      </c>
      <c r="F18" s="14">
        <f t="shared" si="0"/>
        <v>0.71173118656268441</v>
      </c>
      <c r="G18" s="94"/>
      <c r="H18" s="82"/>
    </row>
    <row r="19" spans="1:10" ht="64.5" customHeight="1" x14ac:dyDescent="0.25">
      <c r="A19" s="60" t="s">
        <v>24</v>
      </c>
      <c r="B19" s="88" t="s">
        <v>25</v>
      </c>
      <c r="C19" s="9" t="s">
        <v>5</v>
      </c>
      <c r="D19" s="13">
        <v>1028800</v>
      </c>
      <c r="E19" s="13">
        <v>763095.92</v>
      </c>
      <c r="F19" s="14">
        <f t="shared" si="0"/>
        <v>0.74173398133748059</v>
      </c>
      <c r="G19" s="95" t="s">
        <v>49</v>
      </c>
      <c r="H19" s="82"/>
      <c r="I19" s="69" t="s">
        <v>44</v>
      </c>
      <c r="J19" s="69" t="s">
        <v>43</v>
      </c>
    </row>
    <row r="20" spans="1:10" ht="64.5" customHeight="1" x14ac:dyDescent="0.25">
      <c r="A20" s="60"/>
      <c r="B20" s="88"/>
      <c r="C20" s="9" t="s">
        <v>6</v>
      </c>
      <c r="D20" s="13">
        <f>15258259.03+54147.37</f>
        <v>15312406.399999999</v>
      </c>
      <c r="E20" s="13">
        <f>1209981.1+40162.95</f>
        <v>1250144.05</v>
      </c>
      <c r="F20" s="14">
        <f t="shared" si="0"/>
        <v>8.1642559460804287E-2</v>
      </c>
      <c r="G20" s="96"/>
      <c r="H20" s="82"/>
      <c r="I20" s="69"/>
      <c r="J20" s="69"/>
    </row>
    <row r="21" spans="1:10" ht="64.5" customHeight="1" x14ac:dyDescent="0.25">
      <c r="A21" s="60"/>
      <c r="B21" s="88"/>
      <c r="C21" s="9" t="s">
        <v>8</v>
      </c>
      <c r="D21" s="13">
        <f>SUM(D19:D20)</f>
        <v>16341206.399999999</v>
      </c>
      <c r="E21" s="13">
        <f>SUM(E19:E20)</f>
        <v>2013239.9700000002</v>
      </c>
      <c r="F21" s="14">
        <f t="shared" si="0"/>
        <v>0.12320020448429073</v>
      </c>
      <c r="G21" s="97"/>
      <c r="H21" s="82"/>
      <c r="I21" s="69"/>
      <c r="J21" s="69"/>
    </row>
    <row r="22" spans="1:10" ht="13.5" customHeight="1" x14ac:dyDescent="0.25">
      <c r="A22" s="65" t="s">
        <v>27</v>
      </c>
      <c r="B22" s="83" t="s">
        <v>26</v>
      </c>
      <c r="C22" s="18" t="s">
        <v>4</v>
      </c>
      <c r="D22" s="19">
        <f>D26</f>
        <v>138284.76999999999</v>
      </c>
      <c r="E22" s="19">
        <f>E26</f>
        <v>138284.76999999999</v>
      </c>
      <c r="F22" s="20">
        <f t="shared" si="0"/>
        <v>1</v>
      </c>
      <c r="G22" s="87"/>
      <c r="H22" s="82"/>
    </row>
    <row r="23" spans="1:10" ht="13.5" customHeight="1" x14ac:dyDescent="0.25">
      <c r="A23" s="65"/>
      <c r="B23" s="83"/>
      <c r="C23" s="18" t="s">
        <v>5</v>
      </c>
      <c r="D23" s="19">
        <f>D27+D36</f>
        <v>7033215.2300000004</v>
      </c>
      <c r="E23" s="19">
        <f>E27+E36</f>
        <v>4669429.6100000003</v>
      </c>
      <c r="F23" s="20">
        <f t="shared" si="0"/>
        <v>0.66391109290707717</v>
      </c>
      <c r="G23" s="87"/>
      <c r="H23" s="82"/>
    </row>
    <row r="24" spans="1:10" ht="13.5" customHeight="1" x14ac:dyDescent="0.25">
      <c r="A24" s="65"/>
      <c r="B24" s="83"/>
      <c r="C24" s="18" t="s">
        <v>6</v>
      </c>
      <c r="D24" s="19">
        <f>D28+D30+D32+D34+D37+D39</f>
        <v>388709305.69000006</v>
      </c>
      <c r="E24" s="19">
        <f>E28+E30+E32+E34+E37+E39</f>
        <v>171601694.27999997</v>
      </c>
      <c r="F24" s="20">
        <f t="shared" si="0"/>
        <v>0.44146536182196322</v>
      </c>
      <c r="G24" s="87"/>
      <c r="H24" s="82"/>
    </row>
    <row r="25" spans="1:10" ht="13.5" customHeight="1" x14ac:dyDescent="0.25">
      <c r="A25" s="65"/>
      <c r="B25" s="83"/>
      <c r="C25" s="21" t="s">
        <v>8</v>
      </c>
      <c r="D25" s="22">
        <f>SUM(D22:D24)</f>
        <v>395880805.69000006</v>
      </c>
      <c r="E25" s="22">
        <f>SUM(E22:E24)</f>
        <v>176409408.65999997</v>
      </c>
      <c r="F25" s="23">
        <f t="shared" si="0"/>
        <v>0.44561243213731305</v>
      </c>
      <c r="G25" s="87"/>
      <c r="H25" s="82"/>
    </row>
    <row r="26" spans="1:10" ht="13.5" customHeight="1" x14ac:dyDescent="0.25">
      <c r="A26" s="60" t="s">
        <v>29</v>
      </c>
      <c r="B26" s="88" t="s">
        <v>28</v>
      </c>
      <c r="C26" s="9" t="s">
        <v>4</v>
      </c>
      <c r="D26" s="13">
        <v>138284.76999999999</v>
      </c>
      <c r="E26" s="13">
        <v>138284.76999999999</v>
      </c>
      <c r="F26" s="14">
        <f>E26/D26</f>
        <v>1</v>
      </c>
      <c r="G26" s="93" t="s">
        <v>50</v>
      </c>
      <c r="H26" s="82"/>
    </row>
    <row r="27" spans="1:10" ht="13.5" customHeight="1" x14ac:dyDescent="0.25">
      <c r="A27" s="60"/>
      <c r="B27" s="88"/>
      <c r="C27" s="9" t="s">
        <v>5</v>
      </c>
      <c r="D27" s="13">
        <v>169015.23</v>
      </c>
      <c r="E27" s="13">
        <v>169015.23</v>
      </c>
      <c r="F27" s="14">
        <f t="shared" ref="F27:F47" si="1">E27/D27</f>
        <v>1</v>
      </c>
      <c r="G27" s="98"/>
      <c r="H27" s="82"/>
    </row>
    <row r="28" spans="1:10" ht="13.5" customHeight="1" x14ac:dyDescent="0.25">
      <c r="A28" s="60"/>
      <c r="B28" s="88"/>
      <c r="C28" s="9" t="s">
        <v>6</v>
      </c>
      <c r="D28" s="13">
        <v>16173.68</v>
      </c>
      <c r="E28" s="13">
        <v>16173.68</v>
      </c>
      <c r="F28" s="14">
        <f t="shared" si="1"/>
        <v>1</v>
      </c>
      <c r="G28" s="98"/>
      <c r="H28" s="82"/>
    </row>
    <row r="29" spans="1:10" ht="13.5" customHeight="1" x14ac:dyDescent="0.25">
      <c r="A29" s="60"/>
      <c r="B29" s="88"/>
      <c r="C29" s="9" t="s">
        <v>8</v>
      </c>
      <c r="D29" s="13">
        <f>SUM(D26:D28)</f>
        <v>323473.68</v>
      </c>
      <c r="E29" s="13">
        <f t="shared" ref="E29" si="2">SUM(E26:E28)</f>
        <v>323473.68</v>
      </c>
      <c r="F29" s="14">
        <f t="shared" si="1"/>
        <v>1</v>
      </c>
      <c r="G29" s="94"/>
      <c r="H29" s="82"/>
    </row>
    <row r="30" spans="1:10" ht="37.5" customHeight="1" x14ac:dyDescent="0.25">
      <c r="A30" s="60" t="s">
        <v>31</v>
      </c>
      <c r="B30" s="88" t="s">
        <v>30</v>
      </c>
      <c r="C30" s="9" t="s">
        <v>6</v>
      </c>
      <c r="D30" s="13">
        <v>4991400</v>
      </c>
      <c r="E30" s="13">
        <v>4283321.5199999996</v>
      </c>
      <c r="F30" s="14">
        <f t="shared" si="1"/>
        <v>0.85814030532515917</v>
      </c>
      <c r="G30" s="93" t="s">
        <v>51</v>
      </c>
      <c r="H30" s="82"/>
    </row>
    <row r="31" spans="1:10" ht="37.5" customHeight="1" x14ac:dyDescent="0.25">
      <c r="A31" s="60"/>
      <c r="B31" s="88"/>
      <c r="C31" s="9" t="s">
        <v>8</v>
      </c>
      <c r="D31" s="13">
        <f>SUM(D30)</f>
        <v>4991400</v>
      </c>
      <c r="E31" s="13">
        <f>SUM(E30)</f>
        <v>4283321.5199999996</v>
      </c>
      <c r="F31" s="14">
        <f t="shared" si="1"/>
        <v>0.85814030532515917</v>
      </c>
      <c r="G31" s="94"/>
      <c r="H31" s="82"/>
    </row>
    <row r="32" spans="1:10" ht="49.5" customHeight="1" x14ac:dyDescent="0.25">
      <c r="A32" s="60" t="s">
        <v>32</v>
      </c>
      <c r="B32" s="88" t="s">
        <v>20</v>
      </c>
      <c r="C32" s="9" t="s">
        <v>6</v>
      </c>
      <c r="D32" s="13">
        <v>173744431.77000001</v>
      </c>
      <c r="E32" s="13">
        <v>143734015.16999999</v>
      </c>
      <c r="F32" s="14">
        <f t="shared" si="1"/>
        <v>0.8272726423847222</v>
      </c>
      <c r="G32" s="93" t="s">
        <v>52</v>
      </c>
      <c r="H32" s="82"/>
    </row>
    <row r="33" spans="1:9" ht="49.5" customHeight="1" x14ac:dyDescent="0.25">
      <c r="A33" s="60"/>
      <c r="B33" s="88"/>
      <c r="C33" s="9" t="s">
        <v>8</v>
      </c>
      <c r="D33" s="13">
        <f>SUM(D32)</f>
        <v>173744431.77000001</v>
      </c>
      <c r="E33" s="13">
        <f>SUM(E32)</f>
        <v>143734015.16999999</v>
      </c>
      <c r="F33" s="14">
        <f t="shared" si="1"/>
        <v>0.8272726423847222</v>
      </c>
      <c r="G33" s="101"/>
      <c r="H33" s="82"/>
    </row>
    <row r="34" spans="1:9" ht="36" customHeight="1" x14ac:dyDescent="0.25">
      <c r="A34" s="60" t="s">
        <v>33</v>
      </c>
      <c r="B34" s="88" t="s">
        <v>22</v>
      </c>
      <c r="C34" s="9" t="s">
        <v>6</v>
      </c>
      <c r="D34" s="13">
        <v>14883282.09</v>
      </c>
      <c r="E34" s="13">
        <v>10197250.68</v>
      </c>
      <c r="F34" s="14">
        <f t="shared" si="1"/>
        <v>0.68514798136168364</v>
      </c>
      <c r="G34" s="93" t="s">
        <v>53</v>
      </c>
      <c r="H34" s="82"/>
    </row>
    <row r="35" spans="1:9" ht="36" customHeight="1" x14ac:dyDescent="0.25">
      <c r="A35" s="60"/>
      <c r="B35" s="88"/>
      <c r="C35" s="9" t="s">
        <v>8</v>
      </c>
      <c r="D35" s="13">
        <f>SUM(D34)</f>
        <v>14883282.09</v>
      </c>
      <c r="E35" s="13">
        <f>SUM(E34)</f>
        <v>10197250.68</v>
      </c>
      <c r="F35" s="14">
        <f t="shared" si="1"/>
        <v>0.68514798136168364</v>
      </c>
      <c r="G35" s="94"/>
      <c r="H35" s="82"/>
    </row>
    <row r="36" spans="1:9" ht="34.5" customHeight="1" x14ac:dyDescent="0.25">
      <c r="A36" s="60" t="s">
        <v>34</v>
      </c>
      <c r="B36" s="88" t="s">
        <v>35</v>
      </c>
      <c r="C36" s="9" t="s">
        <v>5</v>
      </c>
      <c r="D36" s="13">
        <v>6864200</v>
      </c>
      <c r="E36" s="13">
        <v>4500414.38</v>
      </c>
      <c r="F36" s="14">
        <f t="shared" si="1"/>
        <v>0.65563567203752804</v>
      </c>
      <c r="G36" s="93" t="s">
        <v>54</v>
      </c>
      <c r="H36" s="82"/>
    </row>
    <row r="37" spans="1:9" ht="34.5" customHeight="1" x14ac:dyDescent="0.25">
      <c r="A37" s="60"/>
      <c r="B37" s="88"/>
      <c r="C37" s="9" t="s">
        <v>6</v>
      </c>
      <c r="D37" s="13">
        <v>361300</v>
      </c>
      <c r="E37" s="13">
        <v>236863.82</v>
      </c>
      <c r="F37" s="14">
        <f t="shared" si="1"/>
        <v>0.65558765568779409</v>
      </c>
      <c r="G37" s="98"/>
      <c r="H37" s="82"/>
    </row>
    <row r="38" spans="1:9" ht="34.5" customHeight="1" x14ac:dyDescent="0.25">
      <c r="A38" s="60"/>
      <c r="B38" s="88"/>
      <c r="C38" s="9" t="s">
        <v>8</v>
      </c>
      <c r="D38" s="13">
        <f>D36+D37</f>
        <v>7225500</v>
      </c>
      <c r="E38" s="13">
        <f>E36+E37</f>
        <v>4737278.2</v>
      </c>
      <c r="F38" s="14">
        <f t="shared" si="1"/>
        <v>0.65563327105390634</v>
      </c>
      <c r="G38" s="94"/>
      <c r="H38" s="82"/>
    </row>
    <row r="39" spans="1:9" ht="108" customHeight="1" x14ac:dyDescent="0.25">
      <c r="A39" s="60" t="s">
        <v>36</v>
      </c>
      <c r="B39" s="88" t="s">
        <v>37</v>
      </c>
      <c r="C39" s="9" t="s">
        <v>6</v>
      </c>
      <c r="D39" s="13">
        <f>430000+188324692.69+5958025.46</f>
        <v>194712718.15000001</v>
      </c>
      <c r="E39" s="13">
        <f>430000+7981783.38+4722286.03</f>
        <v>13134069.41</v>
      </c>
      <c r="F39" s="14">
        <f t="shared" si="1"/>
        <v>6.7453577428270309E-2</v>
      </c>
      <c r="G39" s="99" t="s">
        <v>56</v>
      </c>
      <c r="H39" s="82"/>
      <c r="I39" s="102"/>
    </row>
    <row r="40" spans="1:9" ht="108" customHeight="1" x14ac:dyDescent="0.25">
      <c r="A40" s="60"/>
      <c r="B40" s="88"/>
      <c r="C40" s="9" t="s">
        <v>8</v>
      </c>
      <c r="D40" s="13">
        <f>D39</f>
        <v>194712718.15000001</v>
      </c>
      <c r="E40" s="13">
        <f>E39</f>
        <v>13134069.41</v>
      </c>
      <c r="F40" s="14">
        <f t="shared" si="1"/>
        <v>6.7453577428270309E-2</v>
      </c>
      <c r="G40" s="100"/>
      <c r="H40" s="82"/>
      <c r="I40" s="102"/>
    </row>
    <row r="41" spans="1:9" ht="13.5" customHeight="1" x14ac:dyDescent="0.25">
      <c r="A41" s="65" t="s">
        <v>38</v>
      </c>
      <c r="B41" s="83" t="s">
        <v>39</v>
      </c>
      <c r="C41" s="18" t="s">
        <v>4</v>
      </c>
      <c r="D41" s="24" t="s">
        <v>42</v>
      </c>
      <c r="E41" s="24" t="s">
        <v>42</v>
      </c>
      <c r="F41" s="14" t="e">
        <f t="shared" si="1"/>
        <v>#VALUE!</v>
      </c>
      <c r="G41" s="103"/>
      <c r="H41" s="82"/>
      <c r="I41" s="102"/>
    </row>
    <row r="42" spans="1:9" ht="13.5" customHeight="1" x14ac:dyDescent="0.25">
      <c r="A42" s="65"/>
      <c r="B42" s="83"/>
      <c r="C42" s="18" t="s">
        <v>5</v>
      </c>
      <c r="D42" s="24" t="s">
        <v>42</v>
      </c>
      <c r="E42" s="24" t="s">
        <v>42</v>
      </c>
      <c r="F42" s="14" t="e">
        <f t="shared" si="1"/>
        <v>#VALUE!</v>
      </c>
      <c r="G42" s="87"/>
      <c r="H42" s="82"/>
      <c r="I42" s="102"/>
    </row>
    <row r="43" spans="1:9" ht="13.5" customHeight="1" x14ac:dyDescent="0.25">
      <c r="A43" s="65"/>
      <c r="B43" s="83"/>
      <c r="C43" s="18" t="s">
        <v>6</v>
      </c>
      <c r="D43" s="24" t="s">
        <v>42</v>
      </c>
      <c r="E43" s="24" t="s">
        <v>42</v>
      </c>
      <c r="F43" s="14" t="e">
        <f t="shared" si="1"/>
        <v>#VALUE!</v>
      </c>
      <c r="G43" s="87"/>
      <c r="H43" s="82"/>
      <c r="I43" s="102"/>
    </row>
    <row r="44" spans="1:9" ht="13.5" customHeight="1" x14ac:dyDescent="0.25">
      <c r="A44" s="65"/>
      <c r="B44" s="83"/>
      <c r="C44" s="25" t="s">
        <v>7</v>
      </c>
      <c r="D44" s="24" t="s">
        <v>42</v>
      </c>
      <c r="E44" s="24" t="s">
        <v>42</v>
      </c>
      <c r="F44" s="14" t="e">
        <f t="shared" si="1"/>
        <v>#VALUE!</v>
      </c>
      <c r="G44" s="87"/>
      <c r="H44" s="82"/>
      <c r="I44" s="102"/>
    </row>
    <row r="45" spans="1:9" ht="13.5" customHeight="1" x14ac:dyDescent="0.25">
      <c r="A45" s="65"/>
      <c r="B45" s="83"/>
      <c r="C45" s="21" t="s">
        <v>8</v>
      </c>
      <c r="D45" s="24" t="s">
        <v>42</v>
      </c>
      <c r="E45" s="24" t="s">
        <v>42</v>
      </c>
      <c r="F45" s="14" t="e">
        <f t="shared" si="1"/>
        <v>#VALUE!</v>
      </c>
      <c r="G45" s="87"/>
      <c r="H45" s="82"/>
    </row>
    <row r="46" spans="1:9" ht="54.75" customHeight="1" x14ac:dyDescent="0.25">
      <c r="A46" s="60" t="s">
        <v>40</v>
      </c>
      <c r="B46" s="88" t="s">
        <v>41</v>
      </c>
      <c r="C46" s="9" t="s">
        <v>6</v>
      </c>
      <c r="D46" s="13" t="s">
        <v>42</v>
      </c>
      <c r="E46" s="13" t="s">
        <v>42</v>
      </c>
      <c r="F46" s="14" t="e">
        <f t="shared" si="1"/>
        <v>#VALUE!</v>
      </c>
      <c r="G46" s="16"/>
      <c r="H46" s="82"/>
    </row>
    <row r="47" spans="1:9" ht="54.75" customHeight="1" x14ac:dyDescent="0.25">
      <c r="A47" s="60"/>
      <c r="B47" s="88"/>
      <c r="C47" s="9" t="s">
        <v>8</v>
      </c>
      <c r="D47" s="13" t="s">
        <v>42</v>
      </c>
      <c r="E47" s="13" t="s">
        <v>42</v>
      </c>
      <c r="F47" s="14" t="e">
        <f t="shared" si="1"/>
        <v>#VALUE!</v>
      </c>
      <c r="G47" s="16"/>
      <c r="H47" s="82"/>
    </row>
  </sheetData>
  <mergeCells count="58">
    <mergeCell ref="I19:I21"/>
    <mergeCell ref="J19:J21"/>
    <mergeCell ref="G32:G33"/>
    <mergeCell ref="G34:G35"/>
    <mergeCell ref="G36:G38"/>
    <mergeCell ref="H11:H47"/>
    <mergeCell ref="I39:I44"/>
    <mergeCell ref="G22:G25"/>
    <mergeCell ref="G41:G45"/>
    <mergeCell ref="G11:G12"/>
    <mergeCell ref="B46:B47"/>
    <mergeCell ref="A46:A47"/>
    <mergeCell ref="G13:G14"/>
    <mergeCell ref="G15:G16"/>
    <mergeCell ref="G17:G18"/>
    <mergeCell ref="G19:G21"/>
    <mergeCell ref="G26:G29"/>
    <mergeCell ref="G30:G31"/>
    <mergeCell ref="G39:G40"/>
    <mergeCell ref="A36:A38"/>
    <mergeCell ref="A41:A45"/>
    <mergeCell ref="B41:B45"/>
    <mergeCell ref="A30:A31"/>
    <mergeCell ref="B30:B31"/>
    <mergeCell ref="A32:A33"/>
    <mergeCell ref="B32:B33"/>
    <mergeCell ref="B36:B38"/>
    <mergeCell ref="A39:A40"/>
    <mergeCell ref="B39:B40"/>
    <mergeCell ref="B19:B21"/>
    <mergeCell ref="A15:A16"/>
    <mergeCell ref="B15:B16"/>
    <mergeCell ref="A26:A29"/>
    <mergeCell ref="B26:B29"/>
    <mergeCell ref="A17:A18"/>
    <mergeCell ref="B17:B18"/>
    <mergeCell ref="A19:A21"/>
    <mergeCell ref="A22:A25"/>
    <mergeCell ref="B22:B25"/>
    <mergeCell ref="A13:A14"/>
    <mergeCell ref="A34:A35"/>
    <mergeCell ref="B34:B35"/>
    <mergeCell ref="A11:A12"/>
    <mergeCell ref="B11:B12"/>
    <mergeCell ref="B13:B14"/>
    <mergeCell ref="H3:H6"/>
    <mergeCell ref="H1:H2"/>
    <mergeCell ref="B7:B10"/>
    <mergeCell ref="B3:B6"/>
    <mergeCell ref="A7:A10"/>
    <mergeCell ref="A3:A6"/>
    <mergeCell ref="C1:C2"/>
    <mergeCell ref="H7:H10"/>
    <mergeCell ref="D1:F1"/>
    <mergeCell ref="G3:G6"/>
    <mergeCell ref="G1:G2"/>
    <mergeCell ref="A1:B2"/>
    <mergeCell ref="G7:G10"/>
  </mergeCells>
  <pageMargins left="0.70866141732283472" right="0.70866141732283472" top="0.74803149606299213" bottom="0.74803149606299213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31.12.2024</vt:lpstr>
      <vt:lpstr>с УКС</vt:lpstr>
      <vt:lpstr>'на 31.12.2024'!Область_печати</vt:lpstr>
      <vt:lpstr>'с УКС'!Область_печати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Ольга Заровнятных</cp:lastModifiedBy>
  <cp:lastPrinted>2024-11-14T13:17:39Z</cp:lastPrinted>
  <dcterms:created xsi:type="dcterms:W3CDTF">2006-09-16T00:00:00Z</dcterms:created>
  <dcterms:modified xsi:type="dcterms:W3CDTF">2025-01-20T05:37:46Z</dcterms:modified>
</cp:coreProperties>
</file>